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35" windowWidth="18915" windowHeight="8100"/>
  </bookViews>
  <sheets>
    <sheet name="Светско Ракомет 2013" sheetId="1" r:id="rId1"/>
    <sheet name="Светско Ракомет 2013 (2)" sheetId="6" state="veryHidden" r:id="rId2"/>
  </sheets>
  <definedNames>
    <definedName name="_xlnm._FilterDatabase" localSheetId="0" hidden="1">'Светско Ракомет 2013'!$A$4:$J$64</definedName>
    <definedName name="_xlnm._FilterDatabase" localSheetId="1" hidden="1">'Светско Ракомет 2013 (2)'!$A$3:$AM$63</definedName>
    <definedName name="Гол_разл._гос" localSheetId="1">'Светско Ракомет 2013 (2)'!$AM$4:$AM$63</definedName>
    <definedName name="Гол_разл._дом." localSheetId="1">'Светско Ракомет 2013 (2)'!$AL$4:$AL$63</definedName>
    <definedName name="Гости" localSheetId="1">'Светско Ракомет 2013 (2)'!$I$4:$I$63</definedName>
    <definedName name="Гости">'Светско Ракомет 2013'!$I$5:$I$64</definedName>
    <definedName name="ГрупаА" localSheetId="1">'Светско Ракомет 2013 (2)'!$T$14:$AA$19</definedName>
    <definedName name="ГрупаБ" localSheetId="1">'Светско Ракомет 2013 (2)'!$T$24:$AA$29</definedName>
    <definedName name="ГрупаД" localSheetId="1">'Светско Ракомет 2013 (2)'!$T$44:$AA$49</definedName>
    <definedName name="ГрупаЦ" localSheetId="1">'Светско Ракомет 2013 (2)'!$T$34:$AA$39</definedName>
    <definedName name="Губитник" localSheetId="1">'Светско Ракомет 2013 (2)'!$AJ$4:$AJ$63</definedName>
    <definedName name="Домакини" localSheetId="1">'Светско Ракомет 2013 (2)'!$F$4:$F$63</definedName>
    <definedName name="Домакини">'Светско Ракомет 2013'!$F$5:$F$64</definedName>
    <definedName name="Нерешени" localSheetId="1">'Светско Ракомет 2013 (2)'!$AH$4:$AI$63</definedName>
    <definedName name="Победник" localSheetId="1">'Светско Ракомет 2013 (2)'!$AG$4:$AG$63</definedName>
    <definedName name="Табела_играни_мечеви" localSheetId="1">'Светско Ракомет 2013 (2)'!$AG$4:$AJ$63</definedName>
  </definedNames>
  <calcPr calcId="145621"/>
</workbook>
</file>

<file path=xl/calcChain.xml><?xml version="1.0" encoding="utf-8"?>
<calcChain xmlns="http://schemas.openxmlformats.org/spreadsheetml/2006/main">
  <c r="H90" i="6" l="1"/>
  <c r="G90" i="6"/>
  <c r="G86" i="6"/>
  <c r="H86" i="6"/>
  <c r="H85" i="6"/>
  <c r="G85" i="6"/>
  <c r="G79" i="6"/>
  <c r="H79" i="6"/>
  <c r="G80" i="6"/>
  <c r="H80" i="6"/>
  <c r="G81" i="6"/>
  <c r="H81" i="6"/>
  <c r="H78" i="6"/>
  <c r="G78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H67" i="6"/>
  <c r="G67" i="6"/>
  <c r="H19" i="6" l="1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G12" i="6"/>
  <c r="G13" i="6"/>
  <c r="G14" i="6"/>
  <c r="AJ14" i="6" s="1"/>
  <c r="G15" i="6"/>
  <c r="G16" i="6"/>
  <c r="G17" i="6"/>
  <c r="G18" i="6"/>
  <c r="AJ18" i="6" s="1"/>
  <c r="G19" i="6"/>
  <c r="AI19" i="6" s="1"/>
  <c r="G20" i="6"/>
  <c r="AM20" i="6" s="1"/>
  <c r="G21" i="6"/>
  <c r="AI21" i="6" s="1"/>
  <c r="G22" i="6"/>
  <c r="AI22" i="6" s="1"/>
  <c r="G23" i="6"/>
  <c r="AL23" i="6" s="1"/>
  <c r="G24" i="6"/>
  <c r="AH24" i="6" s="1"/>
  <c r="G25" i="6"/>
  <c r="AJ25" i="6" s="1"/>
  <c r="G26" i="6"/>
  <c r="AJ26" i="6" s="1"/>
  <c r="G27" i="6"/>
  <c r="AI27" i="6" s="1"/>
  <c r="G28" i="6"/>
  <c r="AM28" i="6" s="1"/>
  <c r="G29" i="6"/>
  <c r="AM29" i="6" s="1"/>
  <c r="G30" i="6"/>
  <c r="AJ30" i="6" s="1"/>
  <c r="G31" i="6"/>
  <c r="AL31" i="6" s="1"/>
  <c r="G32" i="6"/>
  <c r="AM32" i="6" s="1"/>
  <c r="G33" i="6"/>
  <c r="AI33" i="6" s="1"/>
  <c r="G34" i="6"/>
  <c r="AL34" i="6" s="1"/>
  <c r="G35" i="6"/>
  <c r="AI35" i="6" s="1"/>
  <c r="G36" i="6"/>
  <c r="AM36" i="6" s="1"/>
  <c r="G37" i="6"/>
  <c r="AL37" i="6" s="1"/>
  <c r="G38" i="6"/>
  <c r="AM38" i="6" s="1"/>
  <c r="G39" i="6"/>
  <c r="AL39" i="6" s="1"/>
  <c r="G40" i="6"/>
  <c r="AH40" i="6" s="1"/>
  <c r="G41" i="6"/>
  <c r="AH41" i="6" s="1"/>
  <c r="G42" i="6"/>
  <c r="AJ42" i="6" s="1"/>
  <c r="G43" i="6"/>
  <c r="AJ43" i="6" s="1"/>
  <c r="G44" i="6"/>
  <c r="AH44" i="6" s="1"/>
  <c r="G45" i="6"/>
  <c r="AG45" i="6" s="1"/>
  <c r="G46" i="6"/>
  <c r="AM46" i="6" s="1"/>
  <c r="G47" i="6"/>
  <c r="AJ47" i="6" s="1"/>
  <c r="G48" i="6"/>
  <c r="AM48" i="6" s="1"/>
  <c r="G49" i="6"/>
  <c r="AG49" i="6" s="1"/>
  <c r="G50" i="6"/>
  <c r="AI50" i="6" s="1"/>
  <c r="G51" i="6"/>
  <c r="AJ51" i="6" s="1"/>
  <c r="G52" i="6"/>
  <c r="AH52" i="6" s="1"/>
  <c r="G53" i="6"/>
  <c r="AM53" i="6" s="1"/>
  <c r="G54" i="6"/>
  <c r="AL54" i="6" s="1"/>
  <c r="G55" i="6"/>
  <c r="AJ55" i="6" s="1"/>
  <c r="G56" i="6"/>
  <c r="AM56" i="6" s="1"/>
  <c r="G57" i="6"/>
  <c r="AG57" i="6" s="1"/>
  <c r="G58" i="6"/>
  <c r="AI58" i="6" s="1"/>
  <c r="G59" i="6"/>
  <c r="AJ59" i="6" s="1"/>
  <c r="G60" i="6"/>
  <c r="AH60" i="6" s="1"/>
  <c r="G61" i="6"/>
  <c r="AG61" i="6" s="1"/>
  <c r="G62" i="6"/>
  <c r="G63" i="6"/>
  <c r="AI63" i="6" s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4" i="6"/>
  <c r="G5" i="6"/>
  <c r="G6" i="6"/>
  <c r="G7" i="6"/>
  <c r="G8" i="6"/>
  <c r="AI8" i="6" s="1"/>
  <c r="G9" i="6"/>
  <c r="G10" i="6"/>
  <c r="G11" i="6"/>
  <c r="G4" i="6"/>
  <c r="AG63" i="6"/>
  <c r="AM24" i="6"/>
  <c r="G91" i="6"/>
  <c r="I90" i="6"/>
  <c r="F90" i="6"/>
  <c r="I86" i="6"/>
  <c r="F86" i="6"/>
  <c r="I85" i="6"/>
  <c r="F85" i="6"/>
  <c r="I81" i="6"/>
  <c r="F81" i="6"/>
  <c r="I80" i="6"/>
  <c r="F80" i="6"/>
  <c r="I79" i="6"/>
  <c r="F79" i="6"/>
  <c r="I78" i="6"/>
  <c r="F78" i="6"/>
  <c r="AJ37" i="6"/>
  <c r="AM12" i="6"/>
  <c r="AM34" i="6" l="1"/>
  <c r="AL49" i="6"/>
  <c r="AH21" i="6"/>
  <c r="AG30" i="6"/>
  <c r="AI38" i="6"/>
  <c r="AJ58" i="6"/>
  <c r="AH54" i="6"/>
  <c r="AL17" i="6"/>
  <c r="AL13" i="6"/>
  <c r="AH32" i="6"/>
  <c r="AL42" i="6"/>
  <c r="AJ9" i="6"/>
  <c r="AL18" i="6"/>
  <c r="AL30" i="6"/>
  <c r="AI46" i="6"/>
  <c r="AM54" i="6"/>
  <c r="AH34" i="6"/>
  <c r="AG42" i="6"/>
  <c r="AJ50" i="6"/>
  <c r="AM40" i="6"/>
  <c r="AH30" i="6"/>
  <c r="AM30" i="6"/>
  <c r="AI34" i="6"/>
  <c r="AH42" i="6"/>
  <c r="AJ46" i="6"/>
  <c r="AL11" i="6"/>
  <c r="AI30" i="6"/>
  <c r="AJ34" i="6"/>
  <c r="AG38" i="6"/>
  <c r="AL38" i="6"/>
  <c r="AI42" i="6"/>
  <c r="AG46" i="6"/>
  <c r="AL46" i="6"/>
  <c r="AH50" i="6"/>
  <c r="AM50" i="6"/>
  <c r="AJ54" i="6"/>
  <c r="AH58" i="6"/>
  <c r="AM58" i="6"/>
  <c r="AL10" i="6"/>
  <c r="AH16" i="6"/>
  <c r="AJ12" i="6"/>
  <c r="AJ38" i="6"/>
  <c r="AM42" i="6"/>
  <c r="AG50" i="6"/>
  <c r="AL50" i="6"/>
  <c r="AI54" i="6"/>
  <c r="AG58" i="6"/>
  <c r="AL58" i="6"/>
  <c r="AG29" i="6"/>
  <c r="AG34" i="6"/>
  <c r="AH38" i="6"/>
  <c r="AH46" i="6"/>
  <c r="AG54" i="6"/>
  <c r="AH15" i="6"/>
  <c r="AG26" i="6"/>
  <c r="AL26" i="6"/>
  <c r="AM26" i="6"/>
  <c r="AI26" i="6"/>
  <c r="AH26" i="6"/>
  <c r="AL22" i="6"/>
  <c r="AH22" i="6"/>
  <c r="AM22" i="6"/>
  <c r="AJ22" i="6"/>
  <c r="AG22" i="6"/>
  <c r="AG18" i="6"/>
  <c r="AM16" i="6"/>
  <c r="AL14" i="6"/>
  <c r="AG14" i="6"/>
  <c r="AM7" i="6"/>
  <c r="AG7" i="6"/>
  <c r="AL5" i="6"/>
  <c r="AG5" i="6"/>
  <c r="AL41" i="6"/>
  <c r="AM41" i="6"/>
  <c r="AL9" i="6"/>
  <c r="AL57" i="6"/>
  <c r="AH9" i="6"/>
  <c r="AM13" i="6"/>
  <c r="AI25" i="6"/>
  <c r="AM33" i="6"/>
  <c r="AL53" i="6"/>
  <c r="AI11" i="6"/>
  <c r="AI5" i="6"/>
  <c r="AM11" i="6"/>
  <c r="AJ19" i="6"/>
  <c r="AI23" i="6"/>
  <c r="AG31" i="6"/>
  <c r="AI39" i="6"/>
  <c r="AL45" i="6"/>
  <c r="AL61" i="6"/>
  <c r="AJ5" i="6"/>
  <c r="AM5" i="6"/>
  <c r="AI9" i="6"/>
  <c r="AL19" i="6"/>
  <c r="AL29" i="6"/>
  <c r="AI31" i="6"/>
  <c r="AG41" i="6"/>
  <c r="AL43" i="6"/>
  <c r="AL47" i="6"/>
  <c r="AL51" i="6"/>
  <c r="AL55" i="6"/>
  <c r="AL59" i="6"/>
  <c r="AM57" i="6"/>
  <c r="AL7" i="6"/>
  <c r="AH5" i="6"/>
  <c r="AI7" i="6"/>
  <c r="AJ11" i="6"/>
  <c r="AM21" i="6"/>
  <c r="AJ27" i="6"/>
  <c r="AH33" i="6"/>
  <c r="AL35" i="6"/>
  <c r="AG39" i="6"/>
  <c r="AJ63" i="6"/>
  <c r="AL15" i="6"/>
  <c r="AJ62" i="6"/>
  <c r="AH14" i="6"/>
  <c r="AM14" i="6"/>
  <c r="AH18" i="6"/>
  <c r="AM18" i="6"/>
  <c r="AG8" i="6"/>
  <c r="AL6" i="6"/>
  <c r="AI14" i="6"/>
  <c r="AI18" i="6"/>
  <c r="AH10" i="6"/>
  <c r="AJ17" i="6"/>
  <c r="AM62" i="6"/>
  <c r="AL62" i="6"/>
  <c r="AH62" i="6"/>
  <c r="AI62" i="6"/>
  <c r="AG62" i="6"/>
  <c r="AH17" i="6"/>
  <c r="AM17" i="6"/>
  <c r="AJ21" i="6"/>
  <c r="AG25" i="6"/>
  <c r="AL25" i="6"/>
  <c r="AI29" i="6"/>
  <c r="AJ33" i="6"/>
  <c r="AH37" i="6"/>
  <c r="AM37" i="6"/>
  <c r="AI41" i="6"/>
  <c r="AI45" i="6"/>
  <c r="AI49" i="6"/>
  <c r="AI53" i="6"/>
  <c r="AI57" i="6"/>
  <c r="AI61" i="6"/>
  <c r="AM49" i="6"/>
  <c r="AH13" i="6"/>
  <c r="AI17" i="6"/>
  <c r="AG21" i="6"/>
  <c r="AL21" i="6"/>
  <c r="AG23" i="6"/>
  <c r="AH25" i="6"/>
  <c r="AM25" i="6"/>
  <c r="AL27" i="6"/>
  <c r="AJ29" i="6"/>
  <c r="AG33" i="6"/>
  <c r="AL33" i="6"/>
  <c r="AJ35" i="6"/>
  <c r="AI37" i="6"/>
  <c r="AJ41" i="6"/>
  <c r="AG43" i="6"/>
  <c r="AJ45" i="6"/>
  <c r="AG47" i="6"/>
  <c r="AJ49" i="6"/>
  <c r="AG51" i="6"/>
  <c r="AJ53" i="6"/>
  <c r="AG55" i="6"/>
  <c r="AJ57" i="6"/>
  <c r="AG59" i="6"/>
  <c r="AJ61" i="6"/>
  <c r="AM61" i="6"/>
  <c r="AM45" i="6"/>
  <c r="AG17" i="6"/>
  <c r="AH29" i="6"/>
  <c r="AG37" i="6"/>
  <c r="AG53" i="6"/>
  <c r="AM6" i="6"/>
  <c r="AH6" i="6"/>
  <c r="AJ10" i="6"/>
  <c r="AJ6" i="6"/>
  <c r="AM10" i="6"/>
  <c r="AG9" i="6"/>
  <c r="AM9" i="6"/>
  <c r="AL63" i="6"/>
  <c r="AM63" i="6"/>
  <c r="AL8" i="6"/>
  <c r="AH48" i="6"/>
  <c r="AH56" i="6"/>
  <c r="AL60" i="6"/>
  <c r="AL52" i="6"/>
  <c r="AL44" i="6"/>
  <c r="AL36" i="6"/>
  <c r="AL28" i="6"/>
  <c r="AL20" i="6"/>
  <c r="AH11" i="6"/>
  <c r="AH12" i="6"/>
  <c r="AI15" i="6"/>
  <c r="AG19" i="6"/>
  <c r="AH20" i="6"/>
  <c r="AJ23" i="6"/>
  <c r="AG27" i="6"/>
  <c r="AH28" i="6"/>
  <c r="AJ31" i="6"/>
  <c r="AG35" i="6"/>
  <c r="AH36" i="6"/>
  <c r="AJ39" i="6"/>
  <c r="AI43" i="6"/>
  <c r="AM44" i="6"/>
  <c r="AI47" i="6"/>
  <c r="AI51" i="6"/>
  <c r="AM52" i="6"/>
  <c r="AI55" i="6"/>
  <c r="AI59" i="6"/>
  <c r="AM60" i="6"/>
  <c r="AI12" i="6"/>
  <c r="AJ8" i="6"/>
  <c r="AM59" i="6"/>
  <c r="AM55" i="6"/>
  <c r="AM51" i="6"/>
  <c r="AM47" i="6"/>
  <c r="AM43" i="6"/>
  <c r="AM39" i="6"/>
  <c r="AM35" i="6"/>
  <c r="AM31" i="6"/>
  <c r="AM27" i="6"/>
  <c r="AM23" i="6"/>
  <c r="AM19" i="6"/>
  <c r="AM15" i="6"/>
  <c r="AL56" i="6"/>
  <c r="AL48" i="6"/>
  <c r="AL40" i="6"/>
  <c r="AL32" i="6"/>
  <c r="AL24" i="6"/>
  <c r="AL16" i="6"/>
  <c r="AJ15" i="6"/>
  <c r="AI16" i="6"/>
  <c r="AI20" i="6"/>
  <c r="AI24" i="6"/>
  <c r="AI28" i="6"/>
  <c r="AI32" i="6"/>
  <c r="AI36" i="6"/>
  <c r="AI40" i="6"/>
  <c r="AI44" i="6"/>
  <c r="AI48" i="6"/>
  <c r="AI52" i="6"/>
  <c r="AI56" i="6"/>
  <c r="AI60" i="6"/>
  <c r="AJ16" i="6"/>
  <c r="AH19" i="6"/>
  <c r="AJ20" i="6"/>
  <c r="AH23" i="6"/>
  <c r="AJ24" i="6"/>
  <c r="AH27" i="6"/>
  <c r="AJ28" i="6"/>
  <c r="AH31" i="6"/>
  <c r="AJ32" i="6"/>
  <c r="AH35" i="6"/>
  <c r="AJ36" i="6"/>
  <c r="AH39" i="6"/>
  <c r="AJ40" i="6"/>
  <c r="AH43" i="6"/>
  <c r="AJ44" i="6"/>
  <c r="AH45" i="6"/>
  <c r="AH47" i="6"/>
  <c r="AJ48" i="6"/>
  <c r="AH49" i="6"/>
  <c r="AH51" i="6"/>
  <c r="AJ52" i="6"/>
  <c r="AH53" i="6"/>
  <c r="AH55" i="6"/>
  <c r="AJ56" i="6"/>
  <c r="AH57" i="6"/>
  <c r="AH59" i="6"/>
  <c r="AJ60" i="6"/>
  <c r="AH61" i="6"/>
  <c r="AH63" i="6"/>
  <c r="AG16" i="6"/>
  <c r="AG20" i="6"/>
  <c r="AG24" i="6"/>
  <c r="AG28" i="6"/>
  <c r="AG32" i="6"/>
  <c r="AG36" i="6"/>
  <c r="AG40" i="6"/>
  <c r="AG44" i="6"/>
  <c r="AG48" i="6"/>
  <c r="AG52" i="6"/>
  <c r="AG56" i="6"/>
  <c r="AG60" i="6"/>
  <c r="AI6" i="6"/>
  <c r="AH8" i="6"/>
  <c r="AM8" i="6"/>
  <c r="AI10" i="6"/>
  <c r="AG12" i="6"/>
  <c r="AL12" i="6"/>
  <c r="AG6" i="6"/>
  <c r="AG10" i="6"/>
  <c r="AI13" i="6"/>
  <c r="AJ13" i="6"/>
  <c r="AG11" i="6"/>
  <c r="AG13" i="6"/>
  <c r="AG15" i="6"/>
  <c r="AJ7" i="6"/>
  <c r="AH7" i="6"/>
  <c r="AA35" i="6"/>
  <c r="AA15" i="6" l="1"/>
  <c r="AA18" i="6"/>
  <c r="AA48" i="6"/>
  <c r="AA46" i="6"/>
  <c r="AA44" i="6"/>
  <c r="AA27" i="6"/>
  <c r="AA37" i="6"/>
  <c r="AA17" i="6"/>
  <c r="AA34" i="6"/>
  <c r="AA45" i="6"/>
  <c r="AA25" i="6"/>
  <c r="AA29" i="6"/>
  <c r="AA36" i="6"/>
  <c r="AA47" i="6"/>
  <c r="AA49" i="6"/>
  <c r="AA28" i="6"/>
  <c r="AA26" i="6"/>
  <c r="AA38" i="6"/>
  <c r="AA39" i="6"/>
  <c r="AA19" i="6"/>
  <c r="AA24" i="6"/>
  <c r="AC49" i="6" l="1"/>
  <c r="AC24" i="6"/>
  <c r="AC48" i="6"/>
  <c r="AC44" i="6"/>
  <c r="AC46" i="6"/>
  <c r="AC47" i="6"/>
  <c r="AC45" i="6"/>
  <c r="AC39" i="6"/>
  <c r="AC28" i="6"/>
  <c r="AC29" i="6"/>
  <c r="AC26" i="6"/>
  <c r="AC25" i="6"/>
  <c r="AC27" i="6"/>
  <c r="AC35" i="6"/>
  <c r="AC37" i="6"/>
  <c r="AC34" i="6"/>
  <c r="AC36" i="6"/>
  <c r="AC38" i="6"/>
  <c r="AI4" i="6" l="1"/>
  <c r="AH4" i="6"/>
  <c r="AJ4" i="6"/>
  <c r="Z47" i="6" s="1"/>
  <c r="AM4" i="6"/>
  <c r="AA16" i="6" s="1"/>
  <c r="AL4" i="6"/>
  <c r="AA14" i="6" s="1"/>
  <c r="AG4" i="6"/>
  <c r="Y44" i="6" l="1"/>
  <c r="W34" i="6"/>
  <c r="Y46" i="6"/>
  <c r="Y19" i="6"/>
  <c r="W29" i="6"/>
  <c r="Y26" i="6"/>
  <c r="X19" i="6"/>
  <c r="X35" i="6"/>
  <c r="X24" i="6"/>
  <c r="Z39" i="6"/>
  <c r="Z38" i="6"/>
  <c r="Z19" i="6"/>
  <c r="Y47" i="6"/>
  <c r="Y28" i="6"/>
  <c r="Y27" i="6"/>
  <c r="X44" i="6"/>
  <c r="X27" i="6"/>
  <c r="Z35" i="6"/>
  <c r="Z45" i="6"/>
  <c r="Z26" i="6"/>
  <c r="Z29" i="6"/>
  <c r="Y15" i="6"/>
  <c r="Y39" i="6"/>
  <c r="Y35" i="6"/>
  <c r="V35" i="6" s="1"/>
  <c r="Z34" i="6"/>
  <c r="Z36" i="6"/>
  <c r="Z24" i="6"/>
  <c r="W37" i="6"/>
  <c r="W18" i="6"/>
  <c r="Z17" i="6"/>
  <c r="Z49" i="6"/>
  <c r="Z44" i="6"/>
  <c r="Z25" i="6"/>
  <c r="Y34" i="6"/>
  <c r="Y24" i="6"/>
  <c r="Y49" i="6"/>
  <c r="AC19" i="6"/>
  <c r="AC15" i="6"/>
  <c r="AC18" i="6"/>
  <c r="X25" i="6"/>
  <c r="X34" i="6"/>
  <c r="X49" i="6"/>
  <c r="X46" i="6"/>
  <c r="V46" i="6" s="1"/>
  <c r="W16" i="6"/>
  <c r="W36" i="6"/>
  <c r="W28" i="6"/>
  <c r="X15" i="6"/>
  <c r="X26" i="6"/>
  <c r="V26" i="6" s="1"/>
  <c r="X48" i="6"/>
  <c r="X38" i="6"/>
  <c r="W39" i="6"/>
  <c r="W17" i="6"/>
  <c r="AC16" i="6"/>
  <c r="AC14" i="6"/>
  <c r="W27" i="6"/>
  <c r="W48" i="6"/>
  <c r="W35" i="6"/>
  <c r="W15" i="6"/>
  <c r="W45" i="6"/>
  <c r="W44" i="6"/>
  <c r="W19" i="6"/>
  <c r="W46" i="6"/>
  <c r="W26" i="6"/>
  <c r="W38" i="6"/>
  <c r="W47" i="6"/>
  <c r="W24" i="6"/>
  <c r="X45" i="6"/>
  <c r="X16" i="6"/>
  <c r="X39" i="6"/>
  <c r="X37" i="6"/>
  <c r="X14" i="6"/>
  <c r="X28" i="6"/>
  <c r="X18" i="6"/>
  <c r="W14" i="6"/>
  <c r="X29" i="6"/>
  <c r="X36" i="6"/>
  <c r="X17" i="6"/>
  <c r="X47" i="6"/>
  <c r="AC17" i="6"/>
  <c r="W25" i="6"/>
  <c r="W49" i="6"/>
  <c r="Z14" i="6"/>
  <c r="Z16" i="6"/>
  <c r="Z15" i="6"/>
  <c r="Z27" i="6"/>
  <c r="Z46" i="6"/>
  <c r="Y25" i="6"/>
  <c r="Y36" i="6"/>
  <c r="Y29" i="6"/>
  <c r="Y16" i="6"/>
  <c r="Y37" i="6"/>
  <c r="Y18" i="6"/>
  <c r="Y17" i="6"/>
  <c r="Z18" i="6"/>
  <c r="Z48" i="6"/>
  <c r="Z28" i="6"/>
  <c r="Z37" i="6"/>
  <c r="Y48" i="6"/>
  <c r="Y38" i="6"/>
  <c r="Y14" i="6"/>
  <c r="Y45" i="6"/>
  <c r="V44" i="6" l="1"/>
  <c r="V34" i="6"/>
  <c r="V15" i="6"/>
  <c r="V19" i="6"/>
  <c r="V24" i="6"/>
  <c r="V27" i="6"/>
  <c r="V47" i="6"/>
  <c r="V49" i="6"/>
  <c r="V18" i="6"/>
  <c r="V39" i="6"/>
  <c r="W40" i="6"/>
  <c r="V28" i="6"/>
  <c r="V48" i="6"/>
  <c r="V14" i="6"/>
  <c r="V29" i="6"/>
  <c r="V45" i="6"/>
  <c r="W20" i="6"/>
  <c r="V37" i="6"/>
  <c r="W30" i="6"/>
  <c r="V38" i="6"/>
  <c r="V17" i="6"/>
  <c r="V36" i="6"/>
  <c r="V16" i="6"/>
  <c r="W50" i="6"/>
  <c r="V25" i="6"/>
  <c r="AD46" i="6" l="1"/>
  <c r="AE46" i="6" s="1"/>
  <c r="AD16" i="6"/>
  <c r="AE16" i="6" s="1"/>
  <c r="AD48" i="6"/>
  <c r="AE48" i="6" s="1"/>
  <c r="AD34" i="6"/>
  <c r="AE34" i="6" s="1"/>
  <c r="AD49" i="6"/>
  <c r="AE49" i="6" s="1"/>
  <c r="AD18" i="6"/>
  <c r="AE18" i="6" s="1"/>
  <c r="AD19" i="6"/>
  <c r="AE19" i="6" s="1"/>
  <c r="AD37" i="6"/>
  <c r="AE37" i="6" s="1"/>
  <c r="AD29" i="6"/>
  <c r="AE29" i="6" s="1"/>
  <c r="AD25" i="6"/>
  <c r="AE25" i="6" s="1"/>
  <c r="AD24" i="6"/>
  <c r="AE24" i="6" s="1"/>
  <c r="AD28" i="6"/>
  <c r="AE28" i="6" s="1"/>
  <c r="AD45" i="6"/>
  <c r="AE45" i="6" s="1"/>
  <c r="AD44" i="6"/>
  <c r="AE44" i="6" s="1"/>
  <c r="AD26" i="6"/>
  <c r="AE26" i="6" s="1"/>
  <c r="AD36" i="6"/>
  <c r="AE36" i="6" s="1"/>
  <c r="AD35" i="6"/>
  <c r="AE35" i="6" s="1"/>
  <c r="AD39" i="6"/>
  <c r="AE39" i="6" s="1"/>
  <c r="AD38" i="6"/>
  <c r="AE38" i="6" s="1"/>
  <c r="AD47" i="6"/>
  <c r="AE47" i="6" s="1"/>
  <c r="AD14" i="6"/>
  <c r="AE14" i="6" s="1"/>
  <c r="AD17" i="6"/>
  <c r="AE17" i="6" s="1"/>
  <c r="AD15" i="6"/>
  <c r="AE15" i="6" s="1"/>
  <c r="AD27" i="6"/>
  <c r="AE27" i="6" s="1"/>
  <c r="T37" i="6" l="1"/>
  <c r="T19" i="6"/>
  <c r="T17" i="6"/>
  <c r="T44" i="6"/>
  <c r="T34" i="6"/>
  <c r="T28" i="6"/>
  <c r="T39" i="6"/>
  <c r="T29" i="6"/>
  <c r="T14" i="6"/>
  <c r="T45" i="6"/>
  <c r="T24" i="6"/>
  <c r="T18" i="6"/>
  <c r="T27" i="6"/>
  <c r="T16" i="6"/>
  <c r="T47" i="6"/>
  <c r="T36" i="6"/>
  <c r="T49" i="6"/>
  <c r="T25" i="6"/>
  <c r="T15" i="6"/>
  <c r="T46" i="6"/>
  <c r="T38" i="6"/>
  <c r="T26" i="6"/>
  <c r="T48" i="6"/>
  <c r="T35" i="6"/>
  <c r="L39" i="6" l="1"/>
  <c r="R19" i="6"/>
  <c r="N19" i="6"/>
  <c r="Q18" i="6"/>
  <c r="P17" i="6"/>
  <c r="O16" i="6"/>
  <c r="N15" i="6"/>
  <c r="Q19" i="6"/>
  <c r="M19" i="6"/>
  <c r="P18" i="6"/>
  <c r="L18" i="6"/>
  <c r="O17" i="6"/>
  <c r="R16" i="6"/>
  <c r="N16" i="6"/>
  <c r="Q15" i="6"/>
  <c r="M15" i="6"/>
  <c r="P14" i="6"/>
  <c r="L14" i="6"/>
  <c r="P19" i="6"/>
  <c r="L19" i="6"/>
  <c r="O18" i="6"/>
  <c r="R17" i="6"/>
  <c r="N17" i="6"/>
  <c r="Q16" i="6"/>
  <c r="M16" i="6"/>
  <c r="P15" i="6"/>
  <c r="L15" i="6"/>
  <c r="O14" i="6"/>
  <c r="O19" i="6"/>
  <c r="R18" i="6"/>
  <c r="N18" i="6"/>
  <c r="Q17" i="6"/>
  <c r="M17" i="6"/>
  <c r="P16" i="6"/>
  <c r="L16" i="6"/>
  <c r="F68" i="6" s="1"/>
  <c r="O15" i="6"/>
  <c r="R14" i="6"/>
  <c r="N14" i="6"/>
  <c r="M18" i="6"/>
  <c r="L17" i="6"/>
  <c r="I69" i="6" s="1"/>
  <c r="R15" i="6"/>
  <c r="Q14" i="6"/>
  <c r="M14" i="6"/>
  <c r="L47" i="6"/>
  <c r="I74" i="6" s="1"/>
  <c r="P47" i="6"/>
  <c r="O34" i="6"/>
  <c r="M47" i="6"/>
  <c r="N46" i="6"/>
  <c r="Q47" i="6"/>
  <c r="R39" i="6"/>
  <c r="P39" i="6"/>
  <c r="L49" i="6"/>
  <c r="R47" i="6"/>
  <c r="N47" i="6"/>
  <c r="O39" i="6"/>
  <c r="O47" i="6"/>
  <c r="M39" i="6"/>
  <c r="Q39" i="6"/>
  <c r="N39" i="6"/>
  <c r="Q48" i="6"/>
  <c r="R29" i="6"/>
  <c r="L26" i="6"/>
  <c r="F70" i="6" s="1"/>
  <c r="M27" i="6"/>
  <c r="L25" i="6"/>
  <c r="I68" i="6" s="1"/>
  <c r="R27" i="6"/>
  <c r="N27" i="6"/>
  <c r="P25" i="6"/>
  <c r="R28" i="6"/>
  <c r="R26" i="6"/>
  <c r="Q27" i="6"/>
  <c r="Q29" i="6"/>
  <c r="P24" i="6"/>
  <c r="P27" i="6"/>
  <c r="O29" i="6"/>
  <c r="O27" i="6"/>
  <c r="M26" i="6"/>
  <c r="P28" i="6"/>
  <c r="P26" i="6"/>
  <c r="N26" i="6"/>
  <c r="Q24" i="6"/>
  <c r="L24" i="6"/>
  <c r="F69" i="6" s="1"/>
  <c r="O28" i="6"/>
  <c r="N25" i="6"/>
  <c r="N24" i="6"/>
  <c r="N29" i="6"/>
  <c r="M24" i="6"/>
  <c r="M28" i="6"/>
  <c r="R24" i="6"/>
  <c r="O24" i="6"/>
  <c r="Q25" i="6"/>
  <c r="R25" i="6"/>
  <c r="L28" i="6"/>
  <c r="O25" i="6"/>
  <c r="P29" i="6"/>
  <c r="Q28" i="6"/>
  <c r="L29" i="6"/>
  <c r="O26" i="6"/>
  <c r="M29" i="6"/>
  <c r="M25" i="6"/>
  <c r="Q26" i="6"/>
  <c r="L27" i="6"/>
  <c r="I67" i="6" s="1"/>
  <c r="N28" i="6"/>
  <c r="N48" i="6"/>
  <c r="L44" i="6"/>
  <c r="F73" i="6" s="1"/>
  <c r="N45" i="6"/>
  <c r="L46" i="6"/>
  <c r="F71" i="6" s="1"/>
  <c r="P44" i="6"/>
  <c r="L45" i="6"/>
  <c r="I72" i="6" s="1"/>
  <c r="M44" i="6"/>
  <c r="O35" i="6"/>
  <c r="R36" i="6"/>
  <c r="Q38" i="6"/>
  <c r="P37" i="6"/>
  <c r="L35" i="6"/>
  <c r="I71" i="6" s="1"/>
  <c r="N38" i="6"/>
  <c r="Q37" i="6"/>
  <c r="N34" i="6"/>
  <c r="M37" i="6"/>
  <c r="R38" i="6"/>
  <c r="R49" i="6"/>
  <c r="P46" i="6"/>
  <c r="M49" i="6"/>
  <c r="N49" i="6"/>
  <c r="M46" i="6"/>
  <c r="Q45" i="6"/>
  <c r="Q44" i="6"/>
  <c r="O49" i="6"/>
  <c r="M48" i="6"/>
  <c r="R46" i="6"/>
  <c r="P49" i="6"/>
  <c r="Q34" i="6"/>
  <c r="R35" i="6"/>
  <c r="O38" i="6"/>
  <c r="P35" i="6"/>
  <c r="P34" i="6"/>
  <c r="O36" i="6"/>
  <c r="P38" i="6"/>
  <c r="F67" i="6"/>
  <c r="I70" i="6"/>
  <c r="M45" i="6"/>
  <c r="O44" i="6"/>
  <c r="Q49" i="6"/>
  <c r="R48" i="6"/>
  <c r="R44" i="6"/>
  <c r="P45" i="6"/>
  <c r="R34" i="6"/>
  <c r="N35" i="6"/>
  <c r="Q36" i="6"/>
  <c r="N36" i="6"/>
  <c r="L36" i="6"/>
  <c r="F72" i="6" s="1"/>
  <c r="M34" i="6"/>
  <c r="N37" i="6"/>
  <c r="M36" i="6"/>
  <c r="R45" i="6"/>
  <c r="P48" i="6"/>
  <c r="Q46" i="6"/>
  <c r="O46" i="6"/>
  <c r="L48" i="6"/>
  <c r="N44" i="6"/>
  <c r="O48" i="6"/>
  <c r="O45" i="6"/>
  <c r="L38" i="6"/>
  <c r="O37" i="6"/>
  <c r="M38" i="6"/>
  <c r="M35" i="6"/>
  <c r="Q35" i="6"/>
  <c r="P36" i="6"/>
  <c r="R37" i="6"/>
  <c r="L37" i="6"/>
  <c r="I73" i="6" s="1"/>
  <c r="L34" i="6"/>
  <c r="F74" i="6" s="1"/>
</calcChain>
</file>

<file path=xl/sharedStrings.xml><?xml version="1.0" encoding="utf-8"?>
<sst xmlns="http://schemas.openxmlformats.org/spreadsheetml/2006/main" count="717" uniqueCount="71">
  <si>
    <t>Хрватска</t>
  </si>
  <si>
    <t>Данска</t>
  </si>
  <si>
    <t>Франција</t>
  </si>
  <si>
    <t>Германија</t>
  </si>
  <si>
    <t>Полска</t>
  </si>
  <si>
    <t>Русија</t>
  </si>
  <si>
    <t>Шпанија</t>
  </si>
  <si>
    <t>D</t>
  </si>
  <si>
    <t>B</t>
  </si>
  <si>
    <t>Група</t>
  </si>
  <si>
    <t>Група A</t>
  </si>
  <si>
    <t>Група B</t>
  </si>
  <si>
    <t>Група C</t>
  </si>
  <si>
    <t>Група D</t>
  </si>
  <si>
    <t>Аргентина</t>
  </si>
  <si>
    <t>Бразил</t>
  </si>
  <si>
    <t>Црна Гора</t>
  </si>
  <si>
    <t>Туниз</t>
  </si>
  <si>
    <t>Класификација</t>
  </si>
  <si>
    <t>Поени</t>
  </si>
  <si>
    <t>Победи</t>
  </si>
  <si>
    <t>Нерешени</t>
  </si>
  <si>
    <t>Изгубени</t>
  </si>
  <si>
    <t>Р.бр.</t>
  </si>
  <si>
    <t>Чиле</t>
  </si>
  <si>
    <t>Исланд</t>
  </si>
  <si>
    <t>Македонија</t>
  </si>
  <si>
    <t>Катар</t>
  </si>
  <si>
    <t>Саудиска Арабија</t>
  </si>
  <si>
    <t>Белорусија</t>
  </si>
  <si>
    <t>Јужна Кореа</t>
  </si>
  <si>
    <t>Словенија</t>
  </si>
  <si>
    <t>Србија</t>
  </si>
  <si>
    <t>Алжир</t>
  </si>
  <si>
    <t>Австралија</t>
  </si>
  <si>
    <t>Египет</t>
  </si>
  <si>
    <t>Унгарија</t>
  </si>
  <si>
    <t>Дата</t>
  </si>
  <si>
    <t>Време</t>
  </si>
  <si>
    <t>Место</t>
  </si>
  <si>
    <t>Тим 1</t>
  </si>
  <si>
    <t>Резултат</t>
  </si>
  <si>
    <t>Тим 2</t>
  </si>
  <si>
    <t>Granolers</t>
  </si>
  <si>
    <t>A</t>
  </si>
  <si>
    <t>Sevilla</t>
  </si>
  <si>
    <t>Zaragoza</t>
  </si>
  <si>
    <t>C</t>
  </si>
  <si>
    <t>Madrid</t>
  </si>
  <si>
    <t>Победник</t>
  </si>
  <si>
    <t>Губитник</t>
  </si>
  <si>
    <t>Гол разл. дом.</t>
  </si>
  <si>
    <t>Гол разл. гос</t>
  </si>
  <si>
    <t>Гол разл.</t>
  </si>
  <si>
    <t>Мечеви</t>
  </si>
  <si>
    <t>Г Р У П Н А    Ф А З А</t>
  </si>
  <si>
    <t>п.од.г.рз.</t>
  </si>
  <si>
    <t>п. Од п</t>
  </si>
  <si>
    <t>п.за старт</t>
  </si>
  <si>
    <t>ВК</t>
  </si>
  <si>
    <t>О С М И Н А    Ф И Н А Л Е</t>
  </si>
  <si>
    <t>15:45/17:30</t>
  </si>
  <si>
    <t>Palau Sant Jordi</t>
  </si>
  <si>
    <t xml:space="preserve">Pabellón Príncipe Felipe </t>
  </si>
  <si>
    <t xml:space="preserve">Palau Sant Jordi </t>
  </si>
  <si>
    <t>Ч Е Т В Р Т И Н А     Ф И Н А Л Е</t>
  </si>
  <si>
    <t>П О Л У     Ф И Н А Л Е</t>
  </si>
  <si>
    <t>Ф И Н А Л Е</t>
  </si>
  <si>
    <t>Ш А М П И О Н</t>
  </si>
  <si>
    <t>СВЕТСКО ПРВЕНСТВО ВО РАКОМЕТ МАЖИ 2013</t>
  </si>
  <si>
    <t>Created by: DMZ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</si>
</sst>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name val="Arial Cyr"/>
      <charset val="204"/>
    </font>
    <font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2"/>
      <color theme="2" tint="-0.749992370372631"/>
      <name val="Calibri"/>
      <family val="2"/>
      <charset val="204"/>
      <scheme val="minor"/>
    </font>
    <font>
      <b/>
      <sz val="14"/>
      <color rgb="FF006666"/>
      <name val="Calibri"/>
      <family val="2"/>
      <charset val="204"/>
      <scheme val="minor"/>
    </font>
    <font>
      <sz val="11"/>
      <color theme="2" tint="-0.49998474074526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0" fontId="4" fillId="0" borderId="1" xfId="0" applyFont="1" applyFill="1" applyBorder="1" applyAlignment="1" applyProtection="1">
      <alignment horizontal="left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/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14" fontId="0" fillId="0" borderId="1" xfId="0" applyNumberFormat="1" applyBorder="1"/>
    <xf numFmtId="0" fontId="4" fillId="0" borderId="8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>
      <alignment horizontal="center" vertical="center"/>
    </xf>
    <xf numFmtId="0" fontId="0" fillId="4" borderId="1" xfId="0" applyFill="1" applyBorder="1"/>
    <xf numFmtId="14" fontId="0" fillId="4" borderId="1" xfId="0" applyNumberFormat="1" applyFill="1" applyBorder="1" applyAlignment="1">
      <alignment horizontal="center" vertical="center"/>
    </xf>
    <xf numFmtId="20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  <protection hidden="1"/>
    </xf>
    <xf numFmtId="0" fontId="5" fillId="2" borderId="13" xfId="0" applyFont="1" applyFill="1" applyBorder="1" applyAlignment="1">
      <alignment horizontal="center" vertical="center"/>
    </xf>
    <xf numFmtId="0" fontId="0" fillId="0" borderId="0" xfId="0" applyBorder="1"/>
    <xf numFmtId="0" fontId="11" fillId="0" borderId="0" xfId="0" applyFont="1"/>
    <xf numFmtId="0" fontId="0" fillId="0" borderId="1" xfId="0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8" fillId="4" borderId="14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8" fillId="4" borderId="11" xfId="0" applyFont="1" applyFill="1" applyBorder="1" applyAlignment="1">
      <alignment horizontal="right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7" fillId="0" borderId="2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20" fontId="0" fillId="0" borderId="1" xfId="0" applyNumberForma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228"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u val="none"/>
        <color auto="1"/>
      </font>
      <fill>
        <patternFill>
          <bgColor rgb="FF00B0F0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u val="none"/>
        <color auto="1"/>
      </font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006666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9.emf"/><Relationship Id="rId3" Type="http://schemas.openxmlformats.org/officeDocument/2006/relationships/image" Target="../media/image14.emf"/><Relationship Id="rId7" Type="http://schemas.openxmlformats.org/officeDocument/2006/relationships/image" Target="../media/image18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Relationship Id="rId6" Type="http://schemas.openxmlformats.org/officeDocument/2006/relationships/image" Target="../media/image17.emf"/><Relationship Id="rId5" Type="http://schemas.openxmlformats.org/officeDocument/2006/relationships/image" Target="../media/image16.emf"/><Relationship Id="rId10" Type="http://schemas.openxmlformats.org/officeDocument/2006/relationships/image" Target="../media/image21.emf"/><Relationship Id="rId4" Type="http://schemas.openxmlformats.org/officeDocument/2006/relationships/image" Target="../media/image15.emf"/><Relationship Id="rId9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83344</xdr:rowOff>
        </xdr:from>
        <xdr:to>
          <xdr:col>18</xdr:col>
          <xdr:colOff>342900</xdr:colOff>
          <xdr:row>51</xdr:row>
          <xdr:rowOff>40481</xdr:rowOff>
        </xdr:to>
        <xdr:pic>
          <xdr:nvPicPr>
            <xdr:cNvPr id="7" name="Picture 6"/>
            <xdr:cNvPicPr>
              <a:picLocks noChangeAspect="1" noChangeArrowheads="1"/>
              <a:extLst>
                <a:ext uri="{84589F7E-364E-4C9E-8A38-B11213B215E9}">
                  <a14:cameraTool cellRange="'Светско Ракомет 2013 (2)'!$K$12:$R$49" spid="_x0000_s231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429500" y="2428875"/>
              <a:ext cx="5200650" cy="74104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761999</xdr:colOff>
          <xdr:row>67</xdr:row>
          <xdr:rowOff>0</xdr:rowOff>
        </xdr:from>
        <xdr:to>
          <xdr:col>6</xdr:col>
          <xdr:colOff>26349</xdr:colOff>
          <xdr:row>75</xdr:row>
          <xdr:rowOff>20068</xdr:rowOff>
        </xdr:to>
        <xdr:pic>
          <xdr:nvPicPr>
            <xdr:cNvPr id="8" name="Picture 7"/>
            <xdr:cNvPicPr>
              <a:picLocks noChangeArrowheads="1"/>
              <a:extLst>
                <a:ext uri="{84589F7E-364E-4C9E-8A38-B11213B215E9}">
                  <a14:cameraTool cellRange="'Светско Ракомет 2013 (2)'!$F$67:$F$74" spid="_x0000_s2315"/>
                </a:ext>
              </a:extLst>
            </xdr:cNvPicPr>
          </xdr:nvPicPr>
          <xdr:blipFill>
            <a:blip xmlns:r="http://schemas.openxmlformats.org/officeDocument/2006/relationships" r:embed="rId2">
              <a:lum bright="-40000" contrast="-40000"/>
            </a:blip>
            <a:srcRect/>
            <a:stretch>
              <a:fillRect/>
            </a:stretch>
          </xdr:blipFill>
          <xdr:spPr bwMode="auto">
            <a:xfrm>
              <a:off x="3577166" y="13133917"/>
              <a:ext cx="1137600" cy="154406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66</xdr:row>
          <xdr:rowOff>190498</xdr:rowOff>
        </xdr:from>
        <xdr:to>
          <xdr:col>9</xdr:col>
          <xdr:colOff>20180</xdr:colOff>
          <xdr:row>75</xdr:row>
          <xdr:rowOff>23998</xdr:rowOff>
        </xdr:to>
        <xdr:pic>
          <xdr:nvPicPr>
            <xdr:cNvPr id="12" name="Picture 11"/>
            <xdr:cNvPicPr>
              <a:picLocks noChangeAspect="1" noChangeArrowheads="1"/>
              <a:extLst>
                <a:ext uri="{84589F7E-364E-4C9E-8A38-B11213B215E9}">
                  <a14:cameraTool cellRange="'Светско Ракомет 2013 (2)'!$I$67:$I$74" spid="_x0000_s2316"/>
                </a:ext>
              </a:extLst>
            </xdr:cNvPicPr>
          </xdr:nvPicPr>
          <xdr:blipFill>
            <a:blip xmlns:r="http://schemas.openxmlformats.org/officeDocument/2006/relationships" r:embed="rId3">
              <a:lum bright="-40000" contrast="-40000"/>
            </a:blip>
            <a:srcRect/>
            <a:stretch>
              <a:fillRect/>
            </a:stretch>
          </xdr:blipFill>
          <xdr:spPr bwMode="auto">
            <a:xfrm>
              <a:off x="5703094" y="12870654"/>
              <a:ext cx="1139367" cy="1548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</xdr:colOff>
          <xdr:row>78</xdr:row>
          <xdr:rowOff>0</xdr:rowOff>
        </xdr:from>
        <xdr:to>
          <xdr:col>6</xdr:col>
          <xdr:colOff>26351</xdr:colOff>
          <xdr:row>82</xdr:row>
          <xdr:rowOff>22800</xdr:rowOff>
        </xdr:to>
        <xdr:pic>
          <xdr:nvPicPr>
            <xdr:cNvPr id="13" name="Picture 12"/>
            <xdr:cNvPicPr>
              <a:picLocks noChangeArrowheads="1"/>
              <a:extLst>
                <a:ext uri="{84589F7E-364E-4C9E-8A38-B11213B215E9}">
                  <a14:cameraTool cellRange="'Светско Ракомет 2013 (2)'!$F$78:$F$81" spid="_x0000_s2317"/>
                </a:ext>
              </a:extLst>
            </xdr:cNvPicPr>
          </xdr:nvPicPr>
          <xdr:blipFill>
            <a:blip xmlns:r="http://schemas.openxmlformats.org/officeDocument/2006/relationships" r:embed="rId4">
              <a:lum bright="-40000" contrast="-40000"/>
            </a:blip>
            <a:srcRect/>
            <a:stretch>
              <a:fillRect/>
            </a:stretch>
          </xdr:blipFill>
          <xdr:spPr bwMode="auto">
            <a:xfrm>
              <a:off x="3577168" y="15314083"/>
              <a:ext cx="1137600" cy="784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</xdr:colOff>
          <xdr:row>77</xdr:row>
          <xdr:rowOff>190499</xdr:rowOff>
        </xdr:from>
        <xdr:to>
          <xdr:col>9</xdr:col>
          <xdr:colOff>26351</xdr:colOff>
          <xdr:row>82</xdr:row>
          <xdr:rowOff>22799</xdr:rowOff>
        </xdr:to>
        <xdr:pic>
          <xdr:nvPicPr>
            <xdr:cNvPr id="14" name="Picture 13"/>
            <xdr:cNvPicPr>
              <a:picLocks noChangeArrowheads="1"/>
              <a:extLst>
                <a:ext uri="{84589F7E-364E-4C9E-8A38-B11213B215E9}">
                  <a14:cameraTool cellRange="'Светско Ракомет 2013 (2)'!$I$78:$I$81" spid="_x0000_s2318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5683251" y="15314082"/>
              <a:ext cx="1137600" cy="784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761999</xdr:colOff>
          <xdr:row>84</xdr:row>
          <xdr:rowOff>190499</xdr:rowOff>
        </xdr:from>
        <xdr:to>
          <xdr:col>6</xdr:col>
          <xdr:colOff>26349</xdr:colOff>
          <xdr:row>87</xdr:row>
          <xdr:rowOff>18599</xdr:rowOff>
        </xdr:to>
        <xdr:pic>
          <xdr:nvPicPr>
            <xdr:cNvPr id="16" name="Picture 15"/>
            <xdr:cNvPicPr>
              <a:picLocks noChangeArrowheads="1"/>
              <a:extLst>
                <a:ext uri="{84589F7E-364E-4C9E-8A38-B11213B215E9}">
                  <a14:cameraTool cellRange="'Светско Ракомет 2013 (2)'!$F$85:$F$86" spid="_x0000_s2319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3577166" y="16732249"/>
              <a:ext cx="1137600" cy="399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2645</xdr:colOff>
          <xdr:row>84</xdr:row>
          <xdr:rowOff>190499</xdr:rowOff>
        </xdr:from>
        <xdr:to>
          <xdr:col>9</xdr:col>
          <xdr:colOff>25395</xdr:colOff>
          <xdr:row>87</xdr:row>
          <xdr:rowOff>18599</xdr:rowOff>
        </xdr:to>
        <xdr:pic>
          <xdr:nvPicPr>
            <xdr:cNvPr id="18" name="Picture 17"/>
            <xdr:cNvPicPr>
              <a:picLocks noChangeArrowheads="1"/>
              <a:extLst>
                <a:ext uri="{84589F7E-364E-4C9E-8A38-B11213B215E9}">
                  <a14:cameraTool cellRange="'Светско Ракомет 2013 (2)'!$I$85:$I$86" spid="_x0000_s2320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5685895" y="16732249"/>
              <a:ext cx="1134000" cy="399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761999</xdr:colOff>
          <xdr:row>89</xdr:row>
          <xdr:rowOff>190499</xdr:rowOff>
        </xdr:from>
        <xdr:to>
          <xdr:col>6</xdr:col>
          <xdr:colOff>22011</xdr:colOff>
          <xdr:row>91</xdr:row>
          <xdr:rowOff>25499</xdr:rowOff>
        </xdr:to>
        <xdr:pic>
          <xdr:nvPicPr>
            <xdr:cNvPr id="29" name="Picture 28"/>
            <xdr:cNvPicPr>
              <a:picLocks noChangeArrowheads="1"/>
              <a:extLst>
                <a:ext uri="{84589F7E-364E-4C9E-8A38-B11213B215E9}">
                  <a14:cameraTool cellRange="'Светско Ракомет 2013 (2)'!$F$90" spid="_x0000_s2321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3583780" y="17525999"/>
              <a:ext cx="1141200" cy="216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</xdr:colOff>
          <xdr:row>89</xdr:row>
          <xdr:rowOff>190499</xdr:rowOff>
        </xdr:from>
        <xdr:to>
          <xdr:col>9</xdr:col>
          <xdr:colOff>22014</xdr:colOff>
          <xdr:row>91</xdr:row>
          <xdr:rowOff>25499</xdr:rowOff>
        </xdr:to>
        <xdr:pic>
          <xdr:nvPicPr>
            <xdr:cNvPr id="30" name="Picture 29"/>
            <xdr:cNvPicPr>
              <a:picLocks noChangeArrowheads="1"/>
              <a:extLst>
                <a:ext uri="{84589F7E-364E-4C9E-8A38-B11213B215E9}">
                  <a14:cameraTool cellRange="'Светско Ракомет 2013 (2)'!$I$90" spid="_x0000_s2322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5703095" y="17525999"/>
              <a:ext cx="1141200" cy="216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1119187</xdr:colOff>
          <xdr:row>90</xdr:row>
          <xdr:rowOff>190499</xdr:rowOff>
        </xdr:from>
        <xdr:to>
          <xdr:col>9</xdr:col>
          <xdr:colOff>22687</xdr:colOff>
          <xdr:row>92</xdr:row>
          <xdr:rowOff>21093</xdr:rowOff>
        </xdr:to>
        <xdr:pic>
          <xdr:nvPicPr>
            <xdr:cNvPr id="31" name="Picture 30"/>
            <xdr:cNvPicPr>
              <a:picLocks noChangeArrowheads="1"/>
              <a:extLst>
                <a:ext uri="{84589F7E-364E-4C9E-8A38-B11213B215E9}">
                  <a14:cameraTool cellRange="'Светско Ракомет 2013 (2)'!$G$91" spid="_x0000_s2323"/>
                </a:ext>
              </a:extLst>
            </xdr:cNvPicPr>
          </xdr:nvPicPr>
          <xdr:blipFill>
            <a:blip xmlns:r="http://schemas.openxmlformats.org/officeDocument/2006/relationships" r:embed="rId10"/>
            <a:srcRect/>
            <a:stretch>
              <a:fillRect/>
            </a:stretch>
          </xdr:blipFill>
          <xdr:spPr bwMode="auto">
            <a:xfrm>
              <a:off x="4702968" y="17716499"/>
              <a:ext cx="2142000" cy="41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11906</xdr:colOff>
      <xdr:row>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381000" cy="190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92"/>
  <sheetViews>
    <sheetView showGridLines="0" tabSelected="1" zoomScale="90" zoomScaleNormal="90" workbookViewId="0">
      <pane ySplit="2" topLeftCell="A3" activePane="bottomLeft" state="frozen"/>
      <selection pane="bottomLeft" activeCell="L8" sqref="L8"/>
    </sheetView>
  </sheetViews>
  <sheetFormatPr defaultRowHeight="15" x14ac:dyDescent="0.25"/>
  <cols>
    <col min="1" max="1" width="5.5703125" bestFit="1" customWidth="1"/>
    <col min="2" max="2" width="11.28515625" customWidth="1"/>
    <col min="3" max="3" width="11.7109375" bestFit="1" customWidth="1"/>
    <col min="4" max="4" width="13.7109375" customWidth="1"/>
    <col min="5" max="5" width="11.42578125" customWidth="1"/>
    <col min="6" max="6" width="16.7109375" bestFit="1" customWidth="1"/>
    <col min="7" max="8" width="7.42578125" customWidth="1"/>
    <col min="9" max="9" width="16.7109375" bestFit="1" customWidth="1"/>
  </cols>
  <sheetData>
    <row r="1" spans="1:11" x14ac:dyDescent="0.25">
      <c r="B1" s="27" t="s">
        <v>70</v>
      </c>
      <c r="C1" s="27"/>
      <c r="D1" s="27"/>
    </row>
    <row r="2" spans="1:11" ht="21.75" customHeight="1" x14ac:dyDescent="0.3">
      <c r="A2" s="46" t="s">
        <v>69</v>
      </c>
      <c r="B2" s="46"/>
      <c r="C2" s="46"/>
      <c r="D2" s="46"/>
      <c r="E2" s="46"/>
      <c r="F2" s="46"/>
      <c r="G2" s="46"/>
      <c r="H2" s="46"/>
      <c r="I2" s="46"/>
    </row>
    <row r="3" spans="1:11" ht="23.25" customHeight="1" x14ac:dyDescent="0.25">
      <c r="A3" s="40" t="s">
        <v>55</v>
      </c>
      <c r="B3" s="41"/>
      <c r="C3" s="41"/>
      <c r="D3" s="41"/>
      <c r="E3" s="41"/>
      <c r="F3" s="41"/>
      <c r="G3" s="41"/>
      <c r="H3" s="41"/>
      <c r="I3" s="42"/>
      <c r="K3" s="13"/>
    </row>
    <row r="4" spans="1:11" ht="19.5" customHeight="1" x14ac:dyDescent="0.25">
      <c r="A4" s="12" t="s">
        <v>23</v>
      </c>
      <c r="B4" s="12" t="s">
        <v>37</v>
      </c>
      <c r="C4" s="12" t="s">
        <v>38</v>
      </c>
      <c r="D4" s="12" t="s">
        <v>39</v>
      </c>
      <c r="E4" s="12" t="s">
        <v>9</v>
      </c>
      <c r="F4" s="12" t="s">
        <v>40</v>
      </c>
      <c r="G4" s="45" t="s">
        <v>41</v>
      </c>
      <c r="H4" s="45"/>
      <c r="I4" s="12" t="s">
        <v>42</v>
      </c>
    </row>
    <row r="5" spans="1:11" x14ac:dyDescent="0.25">
      <c r="A5" s="3">
        <v>1</v>
      </c>
      <c r="B5" s="9">
        <v>41286</v>
      </c>
      <c r="C5" s="8">
        <v>0.66666666666666663</v>
      </c>
      <c r="D5" s="11" t="s">
        <v>43</v>
      </c>
      <c r="E5" s="6" t="s">
        <v>44</v>
      </c>
      <c r="F5" s="3" t="s">
        <v>3</v>
      </c>
      <c r="G5" s="28"/>
      <c r="H5" s="28"/>
      <c r="I5" s="3" t="s">
        <v>15</v>
      </c>
    </row>
    <row r="6" spans="1:11" x14ac:dyDescent="0.25">
      <c r="A6" s="3">
        <v>2</v>
      </c>
      <c r="B6" s="9">
        <v>41286</v>
      </c>
      <c r="C6" s="8">
        <v>0.76041666666666663</v>
      </c>
      <c r="D6" s="11" t="s">
        <v>43</v>
      </c>
      <c r="E6" s="6" t="s">
        <v>44</v>
      </c>
      <c r="F6" s="4" t="s">
        <v>14</v>
      </c>
      <c r="G6" s="28"/>
      <c r="H6" s="28"/>
      <c r="I6" s="4" t="s">
        <v>16</v>
      </c>
    </row>
    <row r="7" spans="1:11" x14ac:dyDescent="0.25">
      <c r="A7" s="3">
        <v>3</v>
      </c>
      <c r="B7" s="9">
        <v>41286</v>
      </c>
      <c r="C7" s="8">
        <v>0.86458333333333337</v>
      </c>
      <c r="D7" s="11" t="s">
        <v>43</v>
      </c>
      <c r="E7" s="6" t="s">
        <v>44</v>
      </c>
      <c r="F7" s="4" t="s">
        <v>2</v>
      </c>
      <c r="G7" s="28"/>
      <c r="H7" s="28"/>
      <c r="I7" s="4" t="s">
        <v>17</v>
      </c>
    </row>
    <row r="8" spans="1:11" x14ac:dyDescent="0.25">
      <c r="A8" s="19">
        <v>4</v>
      </c>
      <c r="B8" s="20">
        <v>41286</v>
      </c>
      <c r="C8" s="21">
        <v>0.65625</v>
      </c>
      <c r="D8" s="22" t="s">
        <v>45</v>
      </c>
      <c r="E8" s="23" t="s">
        <v>8</v>
      </c>
      <c r="F8" s="24" t="s">
        <v>26</v>
      </c>
      <c r="G8" s="29"/>
      <c r="H8" s="29"/>
      <c r="I8" s="24" t="s">
        <v>24</v>
      </c>
    </row>
    <row r="9" spans="1:11" x14ac:dyDescent="0.25">
      <c r="A9" s="3">
        <v>5</v>
      </c>
      <c r="B9" s="9">
        <v>41286</v>
      </c>
      <c r="C9" s="8">
        <v>0.75</v>
      </c>
      <c r="D9" s="11" t="s">
        <v>45</v>
      </c>
      <c r="E9" s="6" t="s">
        <v>8</v>
      </c>
      <c r="F9" s="4" t="s">
        <v>25</v>
      </c>
      <c r="G9" s="28"/>
      <c r="H9" s="28"/>
      <c r="I9" s="4" t="s">
        <v>5</v>
      </c>
    </row>
    <row r="10" spans="1:11" x14ac:dyDescent="0.25">
      <c r="A10" s="3">
        <v>6</v>
      </c>
      <c r="B10" s="9">
        <v>41286</v>
      </c>
      <c r="C10" s="8">
        <v>0.84375</v>
      </c>
      <c r="D10" s="11" t="s">
        <v>45</v>
      </c>
      <c r="E10" s="6" t="s">
        <v>8</v>
      </c>
      <c r="F10" s="4" t="s">
        <v>1</v>
      </c>
      <c r="G10" s="28"/>
      <c r="H10" s="28"/>
      <c r="I10" s="4" t="s">
        <v>27</v>
      </c>
    </row>
    <row r="11" spans="1:11" x14ac:dyDescent="0.25">
      <c r="A11" s="3">
        <v>7</v>
      </c>
      <c r="B11" s="9">
        <v>41286</v>
      </c>
      <c r="C11" s="8">
        <v>0.65625</v>
      </c>
      <c r="D11" s="11" t="s">
        <v>46</v>
      </c>
      <c r="E11" s="6" t="s">
        <v>47</v>
      </c>
      <c r="F11" s="4" t="s">
        <v>32</v>
      </c>
      <c r="G11" s="28"/>
      <c r="H11" s="28"/>
      <c r="I11" s="4" t="s">
        <v>30</v>
      </c>
    </row>
    <row r="12" spans="1:11" x14ac:dyDescent="0.25">
      <c r="A12" s="3">
        <v>8</v>
      </c>
      <c r="B12" s="9">
        <v>41286</v>
      </c>
      <c r="C12" s="8">
        <v>0.75</v>
      </c>
      <c r="D12" s="11" t="s">
        <v>46</v>
      </c>
      <c r="E12" s="6" t="s">
        <v>47</v>
      </c>
      <c r="F12" s="4" t="s">
        <v>31</v>
      </c>
      <c r="G12" s="28"/>
      <c r="H12" s="28"/>
      <c r="I12" s="4" t="s">
        <v>28</v>
      </c>
    </row>
    <row r="13" spans="1:11" ht="16.5" customHeight="1" x14ac:dyDescent="0.25">
      <c r="A13" s="3">
        <v>9</v>
      </c>
      <c r="B13" s="9">
        <v>41286</v>
      </c>
      <c r="C13" s="8">
        <v>0.84375</v>
      </c>
      <c r="D13" s="11" t="s">
        <v>46</v>
      </c>
      <c r="E13" s="6" t="s">
        <v>47</v>
      </c>
      <c r="F13" s="4" t="s">
        <v>4</v>
      </c>
      <c r="G13" s="28"/>
      <c r="H13" s="28"/>
      <c r="I13" s="4" t="s">
        <v>29</v>
      </c>
    </row>
    <row r="14" spans="1:11" x14ac:dyDescent="0.25">
      <c r="A14" s="3">
        <v>10</v>
      </c>
      <c r="B14" s="10">
        <v>41285</v>
      </c>
      <c r="C14" s="8">
        <v>0.79166666666666663</v>
      </c>
      <c r="D14" s="11" t="s">
        <v>48</v>
      </c>
      <c r="E14" s="6" t="s">
        <v>7</v>
      </c>
      <c r="F14" s="4" t="s">
        <v>6</v>
      </c>
      <c r="G14" s="28"/>
      <c r="H14" s="28"/>
      <c r="I14" s="4" t="s">
        <v>33</v>
      </c>
    </row>
    <row r="15" spans="1:11" x14ac:dyDescent="0.25">
      <c r="A15" s="3">
        <v>11</v>
      </c>
      <c r="B15" s="9">
        <v>41286</v>
      </c>
      <c r="C15" s="8">
        <v>0.69791666666666663</v>
      </c>
      <c r="D15" s="11" t="s">
        <v>48</v>
      </c>
      <c r="E15" s="6" t="s">
        <v>7</v>
      </c>
      <c r="F15" s="4" t="s">
        <v>0</v>
      </c>
      <c r="G15" s="28"/>
      <c r="H15" s="28"/>
      <c r="I15" s="4" t="s">
        <v>34</v>
      </c>
    </row>
    <row r="16" spans="1:11" x14ac:dyDescent="0.25">
      <c r="A16" s="3">
        <v>12</v>
      </c>
      <c r="B16" s="9">
        <v>41286</v>
      </c>
      <c r="C16" s="8">
        <v>0.79166666666666663</v>
      </c>
      <c r="D16" s="11" t="s">
        <v>48</v>
      </c>
      <c r="E16" s="6" t="s">
        <v>7</v>
      </c>
      <c r="F16" s="4" t="s">
        <v>36</v>
      </c>
      <c r="G16" s="28"/>
      <c r="H16" s="28"/>
      <c r="I16" s="4" t="s">
        <v>35</v>
      </c>
    </row>
    <row r="17" spans="1:9" x14ac:dyDescent="0.25">
      <c r="A17" s="3">
        <v>13</v>
      </c>
      <c r="B17" s="9">
        <v>41287</v>
      </c>
      <c r="C17" s="8">
        <v>0.625</v>
      </c>
      <c r="D17" s="11" t="s">
        <v>43</v>
      </c>
      <c r="E17" s="6" t="s">
        <v>44</v>
      </c>
      <c r="F17" s="3" t="s">
        <v>15</v>
      </c>
      <c r="G17" s="28"/>
      <c r="H17" s="28"/>
      <c r="I17" s="4" t="s">
        <v>14</v>
      </c>
    </row>
    <row r="18" spans="1:9" x14ac:dyDescent="0.25">
      <c r="A18" s="3">
        <v>14</v>
      </c>
      <c r="B18" s="9">
        <v>41287</v>
      </c>
      <c r="C18" s="8">
        <v>0.72222222222222221</v>
      </c>
      <c r="D18" s="11" t="s">
        <v>43</v>
      </c>
      <c r="E18" s="6" t="s">
        <v>44</v>
      </c>
      <c r="F18" s="4" t="s">
        <v>17</v>
      </c>
      <c r="G18" s="28"/>
      <c r="H18" s="28"/>
      <c r="I18" s="3" t="s">
        <v>3</v>
      </c>
    </row>
    <row r="19" spans="1:9" x14ac:dyDescent="0.25">
      <c r="A19" s="3">
        <v>15</v>
      </c>
      <c r="B19" s="9">
        <v>41287</v>
      </c>
      <c r="C19" s="8">
        <v>0.8125</v>
      </c>
      <c r="D19" s="11" t="s">
        <v>43</v>
      </c>
      <c r="E19" s="6" t="s">
        <v>44</v>
      </c>
      <c r="F19" s="4" t="s">
        <v>16</v>
      </c>
      <c r="G19" s="28"/>
      <c r="H19" s="28"/>
      <c r="I19" s="4" t="s">
        <v>2</v>
      </c>
    </row>
    <row r="20" spans="1:9" x14ac:dyDescent="0.25">
      <c r="A20" s="3">
        <v>16</v>
      </c>
      <c r="B20" s="9">
        <v>41287</v>
      </c>
      <c r="C20" s="8">
        <v>0.65625</v>
      </c>
      <c r="D20" s="11" t="s">
        <v>45</v>
      </c>
      <c r="E20" s="6" t="s">
        <v>8</v>
      </c>
      <c r="F20" s="4" t="s">
        <v>24</v>
      </c>
      <c r="G20" s="28"/>
      <c r="H20" s="28"/>
      <c r="I20" s="4" t="s">
        <v>25</v>
      </c>
    </row>
    <row r="21" spans="1:9" x14ac:dyDescent="0.25">
      <c r="A21" s="19">
        <v>17</v>
      </c>
      <c r="B21" s="20">
        <v>41287</v>
      </c>
      <c r="C21" s="21">
        <v>0.75</v>
      </c>
      <c r="D21" s="22" t="s">
        <v>45</v>
      </c>
      <c r="E21" s="23" t="s">
        <v>8</v>
      </c>
      <c r="F21" s="24" t="s">
        <v>27</v>
      </c>
      <c r="G21" s="29"/>
      <c r="H21" s="29"/>
      <c r="I21" s="24" t="s">
        <v>26</v>
      </c>
    </row>
    <row r="22" spans="1:9" x14ac:dyDescent="0.25">
      <c r="A22" s="3">
        <v>18</v>
      </c>
      <c r="B22" s="9">
        <v>41287</v>
      </c>
      <c r="C22" s="8">
        <v>0.84375</v>
      </c>
      <c r="D22" s="11" t="s">
        <v>45</v>
      </c>
      <c r="E22" s="6" t="s">
        <v>8</v>
      </c>
      <c r="F22" s="4" t="s">
        <v>5</v>
      </c>
      <c r="G22" s="28"/>
      <c r="H22" s="28"/>
      <c r="I22" s="4" t="s">
        <v>1</v>
      </c>
    </row>
    <row r="23" spans="1:9" x14ac:dyDescent="0.25">
      <c r="A23" s="3">
        <v>19</v>
      </c>
      <c r="B23" s="9">
        <v>41288</v>
      </c>
      <c r="C23" s="8">
        <v>0.65625</v>
      </c>
      <c r="D23" s="11" t="s">
        <v>46</v>
      </c>
      <c r="E23" s="6" t="s">
        <v>47</v>
      </c>
      <c r="F23" s="4" t="s">
        <v>30</v>
      </c>
      <c r="G23" s="28"/>
      <c r="H23" s="28"/>
      <c r="I23" s="4" t="s">
        <v>31</v>
      </c>
    </row>
    <row r="24" spans="1:9" x14ac:dyDescent="0.25">
      <c r="A24" s="3">
        <v>20</v>
      </c>
      <c r="B24" s="9">
        <v>41288</v>
      </c>
      <c r="C24" s="8">
        <v>0.75</v>
      </c>
      <c r="D24" s="11" t="s">
        <v>46</v>
      </c>
      <c r="E24" s="6" t="s">
        <v>47</v>
      </c>
      <c r="F24" s="4" t="s">
        <v>29</v>
      </c>
      <c r="G24" s="28"/>
      <c r="H24" s="28"/>
      <c r="I24" s="4" t="s">
        <v>32</v>
      </c>
    </row>
    <row r="25" spans="1:9" x14ac:dyDescent="0.25">
      <c r="A25" s="3">
        <v>21</v>
      </c>
      <c r="B25" s="9">
        <v>41288</v>
      </c>
      <c r="C25" s="8">
        <v>0.84375</v>
      </c>
      <c r="D25" s="11" t="s">
        <v>46</v>
      </c>
      <c r="E25" s="6" t="s">
        <v>47</v>
      </c>
      <c r="F25" s="4" t="s">
        <v>28</v>
      </c>
      <c r="G25" s="28"/>
      <c r="H25" s="28"/>
      <c r="I25" s="4" t="s">
        <v>4</v>
      </c>
    </row>
    <row r="26" spans="1:9" x14ac:dyDescent="0.25">
      <c r="A26" s="3">
        <v>22</v>
      </c>
      <c r="B26" s="9">
        <v>41288</v>
      </c>
      <c r="C26" s="8">
        <v>0.69791666666666663</v>
      </c>
      <c r="D26" s="11" t="s">
        <v>48</v>
      </c>
      <c r="E26" s="6" t="s">
        <v>7</v>
      </c>
      <c r="F26" s="4" t="s">
        <v>33</v>
      </c>
      <c r="G26" s="28"/>
      <c r="H26" s="28"/>
      <c r="I26" s="4" t="s">
        <v>0</v>
      </c>
    </row>
    <row r="27" spans="1:9" x14ac:dyDescent="0.25">
      <c r="A27" s="3">
        <v>23</v>
      </c>
      <c r="B27" s="9">
        <v>41288</v>
      </c>
      <c r="C27" s="8">
        <v>0.79166666666666663</v>
      </c>
      <c r="D27" s="11" t="s">
        <v>48</v>
      </c>
      <c r="E27" s="6" t="s">
        <v>7</v>
      </c>
      <c r="F27" s="4" t="s">
        <v>35</v>
      </c>
      <c r="G27" s="28"/>
      <c r="H27" s="28"/>
      <c r="I27" s="4" t="s">
        <v>6</v>
      </c>
    </row>
    <row r="28" spans="1:9" x14ac:dyDescent="0.25">
      <c r="A28" s="3">
        <v>24</v>
      </c>
      <c r="B28" s="9">
        <v>41288</v>
      </c>
      <c r="C28" s="8">
        <v>0.88541666666666663</v>
      </c>
      <c r="D28" s="11" t="s">
        <v>48</v>
      </c>
      <c r="E28" s="6" t="s">
        <v>7</v>
      </c>
      <c r="F28" s="4" t="s">
        <v>34</v>
      </c>
      <c r="G28" s="28"/>
      <c r="H28" s="28"/>
      <c r="I28" s="4" t="s">
        <v>36</v>
      </c>
    </row>
    <row r="29" spans="1:9" x14ac:dyDescent="0.25">
      <c r="A29" s="3">
        <v>25</v>
      </c>
      <c r="B29" s="9">
        <v>41289</v>
      </c>
      <c r="C29" s="8">
        <v>0.66666666666666663</v>
      </c>
      <c r="D29" s="11" t="s">
        <v>43</v>
      </c>
      <c r="E29" s="6" t="s">
        <v>44</v>
      </c>
      <c r="F29" s="4" t="s">
        <v>17</v>
      </c>
      <c r="G29" s="28"/>
      <c r="H29" s="28"/>
      <c r="I29" s="4" t="s">
        <v>16</v>
      </c>
    </row>
    <row r="30" spans="1:9" x14ac:dyDescent="0.25">
      <c r="A30" s="3">
        <v>26</v>
      </c>
      <c r="B30" s="9">
        <v>41289</v>
      </c>
      <c r="C30" s="8">
        <v>0.77083333333333337</v>
      </c>
      <c r="D30" s="11" t="s">
        <v>43</v>
      </c>
      <c r="E30" s="6" t="s">
        <v>44</v>
      </c>
      <c r="F30" s="3" t="s">
        <v>3</v>
      </c>
      <c r="G30" s="28"/>
      <c r="H30" s="28"/>
      <c r="I30" s="4" t="s">
        <v>14</v>
      </c>
    </row>
    <row r="31" spans="1:9" x14ac:dyDescent="0.25">
      <c r="A31" s="3">
        <v>27</v>
      </c>
      <c r="B31" s="9">
        <v>41289</v>
      </c>
      <c r="C31" s="8">
        <v>0.86458333333333337</v>
      </c>
      <c r="D31" s="11" t="s">
        <v>43</v>
      </c>
      <c r="E31" s="6" t="s">
        <v>44</v>
      </c>
      <c r="F31" s="4" t="s">
        <v>2</v>
      </c>
      <c r="G31" s="28"/>
      <c r="H31" s="28"/>
      <c r="I31" s="3" t="s">
        <v>15</v>
      </c>
    </row>
    <row r="32" spans="1:9" x14ac:dyDescent="0.25">
      <c r="A32" s="3">
        <v>28</v>
      </c>
      <c r="B32" s="9">
        <v>41289</v>
      </c>
      <c r="C32" s="8">
        <v>0.65625</v>
      </c>
      <c r="D32" s="11" t="s">
        <v>45</v>
      </c>
      <c r="E32" s="6" t="s">
        <v>8</v>
      </c>
      <c r="F32" s="4" t="s">
        <v>27</v>
      </c>
      <c r="G32" s="28"/>
      <c r="H32" s="28"/>
      <c r="I32" s="4" t="s">
        <v>5</v>
      </c>
    </row>
    <row r="33" spans="1:9" x14ac:dyDescent="0.25">
      <c r="A33" s="19">
        <v>29</v>
      </c>
      <c r="B33" s="20">
        <v>41289</v>
      </c>
      <c r="C33" s="21">
        <v>0.75</v>
      </c>
      <c r="D33" s="22" t="s">
        <v>45</v>
      </c>
      <c r="E33" s="23" t="s">
        <v>8</v>
      </c>
      <c r="F33" s="24" t="s">
        <v>26</v>
      </c>
      <c r="G33" s="29"/>
      <c r="H33" s="29"/>
      <c r="I33" s="24" t="s">
        <v>25</v>
      </c>
    </row>
    <row r="34" spans="1:9" x14ac:dyDescent="0.25">
      <c r="A34" s="3">
        <v>30</v>
      </c>
      <c r="B34" s="9">
        <v>41289</v>
      </c>
      <c r="C34" s="8">
        <v>0.84375</v>
      </c>
      <c r="D34" s="11" t="s">
        <v>45</v>
      </c>
      <c r="E34" s="6" t="s">
        <v>8</v>
      </c>
      <c r="F34" s="4" t="s">
        <v>1</v>
      </c>
      <c r="G34" s="28"/>
      <c r="H34" s="28"/>
      <c r="I34" s="4" t="s">
        <v>24</v>
      </c>
    </row>
    <row r="35" spans="1:9" x14ac:dyDescent="0.25">
      <c r="A35" s="3">
        <v>31</v>
      </c>
      <c r="B35" s="9">
        <v>41289</v>
      </c>
      <c r="C35" s="8">
        <v>0.65625</v>
      </c>
      <c r="D35" s="11" t="s">
        <v>46</v>
      </c>
      <c r="E35" s="6" t="s">
        <v>47</v>
      </c>
      <c r="F35" s="4" t="s">
        <v>30</v>
      </c>
      <c r="G35" s="28"/>
      <c r="H35" s="28"/>
      <c r="I35" s="4" t="s">
        <v>29</v>
      </c>
    </row>
    <row r="36" spans="1:9" x14ac:dyDescent="0.25">
      <c r="A36" s="3">
        <v>32</v>
      </c>
      <c r="B36" s="9">
        <v>41289</v>
      </c>
      <c r="C36" s="8">
        <v>0.75</v>
      </c>
      <c r="D36" s="11" t="s">
        <v>46</v>
      </c>
      <c r="E36" s="6" t="s">
        <v>47</v>
      </c>
      <c r="F36" s="4" t="s">
        <v>32</v>
      </c>
      <c r="G36" s="28"/>
      <c r="H36" s="28"/>
      <c r="I36" s="4" t="s">
        <v>28</v>
      </c>
    </row>
    <row r="37" spans="1:9" x14ac:dyDescent="0.25">
      <c r="A37" s="3">
        <v>33</v>
      </c>
      <c r="B37" s="9">
        <v>41289</v>
      </c>
      <c r="C37" s="8">
        <v>0.84375</v>
      </c>
      <c r="D37" s="11" t="s">
        <v>46</v>
      </c>
      <c r="E37" s="6" t="s">
        <v>47</v>
      </c>
      <c r="F37" s="4" t="s">
        <v>31</v>
      </c>
      <c r="G37" s="28"/>
      <c r="H37" s="28"/>
      <c r="I37" s="4" t="s">
        <v>4</v>
      </c>
    </row>
    <row r="38" spans="1:9" x14ac:dyDescent="0.25">
      <c r="A38" s="3">
        <v>34</v>
      </c>
      <c r="B38" s="9">
        <v>41289</v>
      </c>
      <c r="C38" s="8">
        <v>0.69791666666666663</v>
      </c>
      <c r="D38" s="11" t="s">
        <v>48</v>
      </c>
      <c r="E38" s="6" t="s">
        <v>7</v>
      </c>
      <c r="F38" s="4" t="s">
        <v>33</v>
      </c>
      <c r="G38" s="28"/>
      <c r="H38" s="28"/>
      <c r="I38" s="4" t="s">
        <v>35</v>
      </c>
    </row>
    <row r="39" spans="1:9" x14ac:dyDescent="0.25">
      <c r="A39" s="3">
        <v>35</v>
      </c>
      <c r="B39" s="9">
        <v>41289</v>
      </c>
      <c r="C39" s="8">
        <v>0.79166666666666663</v>
      </c>
      <c r="D39" s="11" t="s">
        <v>48</v>
      </c>
      <c r="E39" s="6" t="s">
        <v>7</v>
      </c>
      <c r="F39" s="4" t="s">
        <v>6</v>
      </c>
      <c r="G39" s="28"/>
      <c r="H39" s="28"/>
      <c r="I39" s="4" t="s">
        <v>34</v>
      </c>
    </row>
    <row r="40" spans="1:9" x14ac:dyDescent="0.25">
      <c r="A40" s="3">
        <v>36</v>
      </c>
      <c r="B40" s="9">
        <v>41289</v>
      </c>
      <c r="C40" s="8">
        <v>0.88541666666666663</v>
      </c>
      <c r="D40" s="11" t="s">
        <v>48</v>
      </c>
      <c r="E40" s="6" t="s">
        <v>7</v>
      </c>
      <c r="F40" s="4" t="s">
        <v>0</v>
      </c>
      <c r="G40" s="28"/>
      <c r="H40" s="28"/>
      <c r="I40" s="4" t="s">
        <v>36</v>
      </c>
    </row>
    <row r="41" spans="1:9" x14ac:dyDescent="0.25">
      <c r="A41" s="3">
        <v>37</v>
      </c>
      <c r="B41" s="9">
        <v>41290</v>
      </c>
      <c r="C41" s="8">
        <v>0.66666666666666663</v>
      </c>
      <c r="D41" s="11" t="s">
        <v>43</v>
      </c>
      <c r="E41" s="6" t="s">
        <v>44</v>
      </c>
      <c r="F41" s="3" t="s">
        <v>15</v>
      </c>
      <c r="G41" s="28"/>
      <c r="H41" s="28"/>
      <c r="I41" s="4" t="s">
        <v>17</v>
      </c>
    </row>
    <row r="42" spans="1:9" x14ac:dyDescent="0.25">
      <c r="A42" s="3">
        <v>38</v>
      </c>
      <c r="B42" s="9">
        <v>41290</v>
      </c>
      <c r="C42" s="8">
        <v>0.77083333333333337</v>
      </c>
      <c r="D42" s="11" t="s">
        <v>43</v>
      </c>
      <c r="E42" s="6" t="s">
        <v>44</v>
      </c>
      <c r="F42" s="3" t="s">
        <v>3</v>
      </c>
      <c r="G42" s="28"/>
      <c r="H42" s="28"/>
      <c r="I42" s="4" t="s">
        <v>16</v>
      </c>
    </row>
    <row r="43" spans="1:9" x14ac:dyDescent="0.25">
      <c r="A43" s="3">
        <v>39</v>
      </c>
      <c r="B43" s="9">
        <v>41290</v>
      </c>
      <c r="C43" s="8">
        <v>0.86458333333333337</v>
      </c>
      <c r="D43" s="11" t="s">
        <v>43</v>
      </c>
      <c r="E43" s="6" t="s">
        <v>44</v>
      </c>
      <c r="F43" s="4" t="s">
        <v>14</v>
      </c>
      <c r="G43" s="28"/>
      <c r="H43" s="28"/>
      <c r="I43" s="4" t="s">
        <v>2</v>
      </c>
    </row>
    <row r="44" spans="1:9" x14ac:dyDescent="0.25">
      <c r="A44" s="19">
        <v>40</v>
      </c>
      <c r="B44" s="20">
        <v>41290</v>
      </c>
      <c r="C44" s="21">
        <v>0.65625</v>
      </c>
      <c r="D44" s="22" t="s">
        <v>45</v>
      </c>
      <c r="E44" s="23" t="s">
        <v>8</v>
      </c>
      <c r="F44" s="24" t="s">
        <v>26</v>
      </c>
      <c r="G44" s="29"/>
      <c r="H44" s="29"/>
      <c r="I44" s="24" t="s">
        <v>5</v>
      </c>
    </row>
    <row r="45" spans="1:9" x14ac:dyDescent="0.25">
      <c r="A45" s="3">
        <v>41</v>
      </c>
      <c r="B45" s="9">
        <v>41290</v>
      </c>
      <c r="C45" s="8">
        <v>0.75</v>
      </c>
      <c r="D45" s="11" t="s">
        <v>45</v>
      </c>
      <c r="E45" s="6" t="s">
        <v>8</v>
      </c>
      <c r="F45" s="4" t="s">
        <v>24</v>
      </c>
      <c r="G45" s="28"/>
      <c r="H45" s="28"/>
      <c r="I45" s="4" t="s">
        <v>27</v>
      </c>
    </row>
    <row r="46" spans="1:9" x14ac:dyDescent="0.25">
      <c r="A46" s="3">
        <v>42</v>
      </c>
      <c r="B46" s="9">
        <v>41290</v>
      </c>
      <c r="C46" s="8">
        <v>0.84375</v>
      </c>
      <c r="D46" s="11" t="s">
        <v>45</v>
      </c>
      <c r="E46" s="6" t="s">
        <v>8</v>
      </c>
      <c r="F46" s="4" t="s">
        <v>25</v>
      </c>
      <c r="G46" s="28"/>
      <c r="H46" s="28"/>
      <c r="I46" s="4" t="s">
        <v>1</v>
      </c>
    </row>
    <row r="47" spans="1:9" x14ac:dyDescent="0.25">
      <c r="A47" s="3">
        <v>43</v>
      </c>
      <c r="B47" s="9">
        <v>41291</v>
      </c>
      <c r="C47" s="8">
        <v>0.65625</v>
      </c>
      <c r="D47" s="11" t="s">
        <v>46</v>
      </c>
      <c r="E47" s="6" t="s">
        <v>47</v>
      </c>
      <c r="F47" s="4" t="s">
        <v>31</v>
      </c>
      <c r="G47" s="28"/>
      <c r="H47" s="28"/>
      <c r="I47" s="4" t="s">
        <v>29</v>
      </c>
    </row>
    <row r="48" spans="1:9" x14ac:dyDescent="0.25">
      <c r="A48" s="3">
        <v>44</v>
      </c>
      <c r="B48" s="9">
        <v>41291</v>
      </c>
      <c r="C48" s="8">
        <v>0.75</v>
      </c>
      <c r="D48" s="11" t="s">
        <v>46</v>
      </c>
      <c r="E48" s="6" t="s">
        <v>47</v>
      </c>
      <c r="F48" s="4" t="s">
        <v>28</v>
      </c>
      <c r="G48" s="28"/>
      <c r="H48" s="28"/>
      <c r="I48" s="4" t="s">
        <v>30</v>
      </c>
    </row>
    <row r="49" spans="1:9" x14ac:dyDescent="0.25">
      <c r="A49" s="3">
        <v>45</v>
      </c>
      <c r="B49" s="9">
        <v>41291</v>
      </c>
      <c r="C49" s="8">
        <v>0.84375</v>
      </c>
      <c r="D49" s="11" t="s">
        <v>46</v>
      </c>
      <c r="E49" s="6" t="s">
        <v>47</v>
      </c>
      <c r="F49" s="4" t="s">
        <v>4</v>
      </c>
      <c r="G49" s="28"/>
      <c r="H49" s="28"/>
      <c r="I49" s="4" t="s">
        <v>32</v>
      </c>
    </row>
    <row r="50" spans="1:9" x14ac:dyDescent="0.25">
      <c r="A50" s="3">
        <v>46</v>
      </c>
      <c r="B50" s="9">
        <v>41291</v>
      </c>
      <c r="C50" s="8">
        <v>0.69791666666666663</v>
      </c>
      <c r="D50" s="11" t="s">
        <v>48</v>
      </c>
      <c r="E50" s="6" t="s">
        <v>7</v>
      </c>
      <c r="F50" s="4" t="s">
        <v>34</v>
      </c>
      <c r="G50" s="28"/>
      <c r="H50" s="28"/>
      <c r="I50" s="4" t="s">
        <v>33</v>
      </c>
    </row>
    <row r="51" spans="1:9" x14ac:dyDescent="0.25">
      <c r="A51" s="3">
        <v>47</v>
      </c>
      <c r="B51" s="9">
        <v>41291</v>
      </c>
      <c r="C51" s="8">
        <v>0.79166666666666663</v>
      </c>
      <c r="D51" s="11" t="s">
        <v>48</v>
      </c>
      <c r="E51" s="6" t="s">
        <v>7</v>
      </c>
      <c r="F51" s="4" t="s">
        <v>36</v>
      </c>
      <c r="G51" s="28"/>
      <c r="H51" s="28"/>
      <c r="I51" s="4" t="s">
        <v>6</v>
      </c>
    </row>
    <row r="52" spans="1:9" x14ac:dyDescent="0.25">
      <c r="A52" s="3">
        <v>48</v>
      </c>
      <c r="B52" s="9">
        <v>41291</v>
      </c>
      <c r="C52" s="8">
        <v>0.88541666666666663</v>
      </c>
      <c r="D52" s="11" t="s">
        <v>48</v>
      </c>
      <c r="E52" s="6" t="s">
        <v>7</v>
      </c>
      <c r="F52" s="4" t="s">
        <v>0</v>
      </c>
      <c r="G52" s="28"/>
      <c r="H52" s="28"/>
      <c r="I52" s="4" t="s">
        <v>35</v>
      </c>
    </row>
    <row r="53" spans="1:9" x14ac:dyDescent="0.25">
      <c r="A53" s="3">
        <v>49</v>
      </c>
      <c r="B53" s="9">
        <v>41292</v>
      </c>
      <c r="C53" s="8">
        <v>0.66666666666666663</v>
      </c>
      <c r="D53" s="11" t="s">
        <v>43</v>
      </c>
      <c r="E53" s="6" t="s">
        <v>44</v>
      </c>
      <c r="F53" s="4" t="s">
        <v>14</v>
      </c>
      <c r="G53" s="28"/>
      <c r="H53" s="28"/>
      <c r="I53" s="4" t="s">
        <v>17</v>
      </c>
    </row>
    <row r="54" spans="1:9" x14ac:dyDescent="0.25">
      <c r="A54" s="3">
        <v>50</v>
      </c>
      <c r="B54" s="9">
        <v>41292</v>
      </c>
      <c r="C54" s="8">
        <v>0.76041666666666663</v>
      </c>
      <c r="D54" s="11" t="s">
        <v>43</v>
      </c>
      <c r="E54" s="6" t="s">
        <v>44</v>
      </c>
      <c r="F54" s="4" t="s">
        <v>2</v>
      </c>
      <c r="G54" s="28"/>
      <c r="H54" s="28"/>
      <c r="I54" s="3" t="s">
        <v>3</v>
      </c>
    </row>
    <row r="55" spans="1:9" x14ac:dyDescent="0.25">
      <c r="A55" s="3">
        <v>51</v>
      </c>
      <c r="B55" s="9">
        <v>41292</v>
      </c>
      <c r="C55" s="8">
        <v>0.86458333333333337</v>
      </c>
      <c r="D55" s="11" t="s">
        <v>43</v>
      </c>
      <c r="E55" s="6" t="s">
        <v>44</v>
      </c>
      <c r="F55" s="4" t="s">
        <v>16</v>
      </c>
      <c r="G55" s="28"/>
      <c r="H55" s="28"/>
      <c r="I55" s="3" t="s">
        <v>15</v>
      </c>
    </row>
    <row r="56" spans="1:9" x14ac:dyDescent="0.25">
      <c r="A56" s="3">
        <v>52</v>
      </c>
      <c r="B56" s="9">
        <v>41292</v>
      </c>
      <c r="C56" s="8">
        <v>0.65625</v>
      </c>
      <c r="D56" s="11" t="s">
        <v>45</v>
      </c>
      <c r="E56" s="6" t="s">
        <v>8</v>
      </c>
      <c r="F56" s="4" t="s">
        <v>5</v>
      </c>
      <c r="G56" s="28"/>
      <c r="H56" s="28"/>
      <c r="I56" s="4" t="s">
        <v>24</v>
      </c>
    </row>
    <row r="57" spans="1:9" x14ac:dyDescent="0.25">
      <c r="A57" s="3">
        <v>53</v>
      </c>
      <c r="B57" s="9">
        <v>41292</v>
      </c>
      <c r="C57" s="8">
        <v>0.75</v>
      </c>
      <c r="D57" s="11" t="s">
        <v>45</v>
      </c>
      <c r="E57" s="6" t="s">
        <v>8</v>
      </c>
      <c r="F57" s="4" t="s">
        <v>25</v>
      </c>
      <c r="G57" s="28"/>
      <c r="H57" s="28"/>
      <c r="I57" s="4" t="s">
        <v>27</v>
      </c>
    </row>
    <row r="58" spans="1:9" x14ac:dyDescent="0.25">
      <c r="A58" s="19">
        <v>54</v>
      </c>
      <c r="B58" s="20">
        <v>41292</v>
      </c>
      <c r="C58" s="21">
        <v>0.84375</v>
      </c>
      <c r="D58" s="22" t="s">
        <v>45</v>
      </c>
      <c r="E58" s="23" t="s">
        <v>8</v>
      </c>
      <c r="F58" s="24" t="s">
        <v>1</v>
      </c>
      <c r="G58" s="29"/>
      <c r="H58" s="29"/>
      <c r="I58" s="24" t="s">
        <v>26</v>
      </c>
    </row>
    <row r="59" spans="1:9" x14ac:dyDescent="0.25">
      <c r="A59" s="3">
        <v>55</v>
      </c>
      <c r="B59" s="9">
        <v>41293</v>
      </c>
      <c r="C59" s="8">
        <v>0.65625</v>
      </c>
      <c r="D59" s="11" t="s">
        <v>46</v>
      </c>
      <c r="E59" s="6" t="s">
        <v>47</v>
      </c>
      <c r="F59" s="4" t="s">
        <v>29</v>
      </c>
      <c r="G59" s="28"/>
      <c r="H59" s="28"/>
      <c r="I59" s="4" t="s">
        <v>28</v>
      </c>
    </row>
    <row r="60" spans="1:9" x14ac:dyDescent="0.25">
      <c r="A60" s="3">
        <v>56</v>
      </c>
      <c r="B60" s="9">
        <v>41293</v>
      </c>
      <c r="C60" s="8">
        <v>0.75</v>
      </c>
      <c r="D60" s="11" t="s">
        <v>46</v>
      </c>
      <c r="E60" s="6" t="s">
        <v>47</v>
      </c>
      <c r="F60" s="4" t="s">
        <v>4</v>
      </c>
      <c r="G60" s="28"/>
      <c r="H60" s="28"/>
      <c r="I60" s="4" t="s">
        <v>30</v>
      </c>
    </row>
    <row r="61" spans="1:9" x14ac:dyDescent="0.25">
      <c r="A61" s="3">
        <v>57</v>
      </c>
      <c r="B61" s="9">
        <v>41293</v>
      </c>
      <c r="C61" s="8">
        <v>0.84375</v>
      </c>
      <c r="D61" s="11" t="s">
        <v>46</v>
      </c>
      <c r="E61" s="6" t="s">
        <v>47</v>
      </c>
      <c r="F61" s="4" t="s">
        <v>32</v>
      </c>
      <c r="G61" s="28"/>
      <c r="H61" s="28"/>
      <c r="I61" s="4" t="s">
        <v>31</v>
      </c>
    </row>
    <row r="62" spans="1:9" x14ac:dyDescent="0.25">
      <c r="A62" s="3">
        <v>58</v>
      </c>
      <c r="B62" s="9">
        <v>41293</v>
      </c>
      <c r="C62" s="8">
        <v>0.69791666666666663</v>
      </c>
      <c r="D62" s="11" t="s">
        <v>48</v>
      </c>
      <c r="E62" s="6" t="s">
        <v>7</v>
      </c>
      <c r="F62" s="4" t="s">
        <v>35</v>
      </c>
      <c r="G62" s="28"/>
      <c r="H62" s="28"/>
      <c r="I62" s="4" t="s">
        <v>34</v>
      </c>
    </row>
    <row r="63" spans="1:9" x14ac:dyDescent="0.25">
      <c r="A63" s="3">
        <v>59</v>
      </c>
      <c r="B63" s="9">
        <v>41293</v>
      </c>
      <c r="C63" s="8">
        <v>0.79166666666666663</v>
      </c>
      <c r="D63" s="11" t="s">
        <v>48</v>
      </c>
      <c r="E63" s="6" t="s">
        <v>7</v>
      </c>
      <c r="F63" s="4" t="s">
        <v>6</v>
      </c>
      <c r="G63" s="28"/>
      <c r="H63" s="28"/>
      <c r="I63" s="4" t="s">
        <v>0</v>
      </c>
    </row>
    <row r="64" spans="1:9" x14ac:dyDescent="0.25">
      <c r="A64" s="3">
        <v>60</v>
      </c>
      <c r="B64" s="9">
        <v>41293</v>
      </c>
      <c r="C64" s="8">
        <v>0.88541666666666663</v>
      </c>
      <c r="D64" s="11" t="s">
        <v>48</v>
      </c>
      <c r="E64" s="6" t="s">
        <v>7</v>
      </c>
      <c r="F64" s="4" t="s">
        <v>36</v>
      </c>
      <c r="G64" s="28"/>
      <c r="H64" s="28"/>
      <c r="I64" s="4" t="s">
        <v>33</v>
      </c>
    </row>
    <row r="66" spans="1:9" ht="23.25" customHeight="1" x14ac:dyDescent="0.25">
      <c r="A66" s="40" t="s">
        <v>60</v>
      </c>
      <c r="B66" s="41"/>
      <c r="C66" s="41"/>
      <c r="D66" s="41"/>
      <c r="E66" s="41"/>
      <c r="F66" s="41"/>
      <c r="G66" s="41"/>
      <c r="H66" s="41"/>
      <c r="I66" s="42"/>
    </row>
    <row r="67" spans="1:9" x14ac:dyDescent="0.25">
      <c r="A67" s="14" t="s">
        <v>23</v>
      </c>
      <c r="B67" s="14" t="s">
        <v>37</v>
      </c>
      <c r="C67" s="14" t="s">
        <v>38</v>
      </c>
      <c r="D67" s="43" t="s">
        <v>39</v>
      </c>
      <c r="E67" s="44"/>
      <c r="F67" s="25" t="s">
        <v>40</v>
      </c>
      <c r="G67" s="45" t="s">
        <v>41</v>
      </c>
      <c r="H67" s="45"/>
      <c r="I67" s="25" t="s">
        <v>42</v>
      </c>
    </row>
    <row r="68" spans="1:9" x14ac:dyDescent="0.25">
      <c r="A68" s="3">
        <v>1</v>
      </c>
      <c r="B68" s="16">
        <v>41294</v>
      </c>
      <c r="C68" s="7" t="s">
        <v>61</v>
      </c>
      <c r="D68" s="34" t="s">
        <v>62</v>
      </c>
      <c r="E68" s="35"/>
      <c r="F68" s="26"/>
      <c r="G68" s="30"/>
      <c r="H68" s="31"/>
      <c r="I68" s="26"/>
    </row>
    <row r="69" spans="1:9" x14ac:dyDescent="0.25">
      <c r="A69" s="3">
        <v>2</v>
      </c>
      <c r="B69" s="16">
        <v>41294</v>
      </c>
      <c r="C69" s="7" t="s">
        <v>61</v>
      </c>
      <c r="D69" s="34" t="s">
        <v>63</v>
      </c>
      <c r="E69" s="35"/>
      <c r="F69" s="26"/>
      <c r="G69" s="30"/>
      <c r="H69" s="31"/>
      <c r="I69" s="26"/>
    </row>
    <row r="70" spans="1:9" x14ac:dyDescent="0.25">
      <c r="A70" s="3">
        <v>3</v>
      </c>
      <c r="B70" s="16">
        <v>41294</v>
      </c>
      <c r="C70" s="8">
        <v>0.84375</v>
      </c>
      <c r="D70" s="34" t="s">
        <v>63</v>
      </c>
      <c r="E70" s="35"/>
      <c r="F70" s="26"/>
      <c r="G70" s="30"/>
      <c r="H70" s="31"/>
      <c r="I70" s="26"/>
    </row>
    <row r="71" spans="1:9" x14ac:dyDescent="0.25">
      <c r="A71" s="3">
        <v>4</v>
      </c>
      <c r="B71" s="16">
        <v>41294</v>
      </c>
      <c r="C71" s="8">
        <v>0.84375</v>
      </c>
      <c r="D71" s="34" t="s">
        <v>64</v>
      </c>
      <c r="E71" s="35"/>
      <c r="F71" s="26"/>
      <c r="G71" s="30"/>
      <c r="H71" s="31"/>
      <c r="I71" s="26"/>
    </row>
    <row r="72" spans="1:9" x14ac:dyDescent="0.25">
      <c r="A72" s="3">
        <v>5</v>
      </c>
      <c r="B72" s="16">
        <v>41295</v>
      </c>
      <c r="C72" s="8">
        <v>0.72916666666666663</v>
      </c>
      <c r="D72" s="34" t="s">
        <v>64</v>
      </c>
      <c r="E72" s="35"/>
      <c r="F72" s="26"/>
      <c r="G72" s="30"/>
      <c r="H72" s="31"/>
      <c r="I72" s="26"/>
    </row>
    <row r="73" spans="1:9" x14ac:dyDescent="0.25">
      <c r="A73" s="3">
        <v>6</v>
      </c>
      <c r="B73" s="16">
        <v>41295</v>
      </c>
      <c r="C73" s="8">
        <v>0.72916666666666663</v>
      </c>
      <c r="D73" s="34" t="s">
        <v>63</v>
      </c>
      <c r="E73" s="35"/>
      <c r="F73" s="26"/>
      <c r="G73" s="30"/>
      <c r="H73" s="31"/>
      <c r="I73" s="26"/>
    </row>
    <row r="74" spans="1:9" x14ac:dyDescent="0.25">
      <c r="A74" s="3">
        <v>7</v>
      </c>
      <c r="B74" s="16">
        <v>41295</v>
      </c>
      <c r="C74" s="8">
        <v>0.84375</v>
      </c>
      <c r="D74" s="34" t="s">
        <v>63</v>
      </c>
      <c r="E74" s="35"/>
      <c r="F74" s="26"/>
      <c r="G74" s="30"/>
      <c r="H74" s="31"/>
      <c r="I74" s="26"/>
    </row>
    <row r="75" spans="1:9" x14ac:dyDescent="0.25">
      <c r="A75" s="3">
        <v>8</v>
      </c>
      <c r="B75" s="16">
        <v>41295</v>
      </c>
      <c r="C75" s="8">
        <v>0.84375</v>
      </c>
      <c r="D75" s="34" t="s">
        <v>64</v>
      </c>
      <c r="E75" s="35"/>
      <c r="F75" s="26"/>
      <c r="G75" s="30"/>
      <c r="H75" s="31"/>
      <c r="I75" s="26"/>
    </row>
    <row r="77" spans="1:9" ht="21.75" customHeight="1" x14ac:dyDescent="0.25">
      <c r="A77" s="40" t="s">
        <v>65</v>
      </c>
      <c r="B77" s="41"/>
      <c r="C77" s="41"/>
      <c r="D77" s="41"/>
      <c r="E77" s="41"/>
      <c r="F77" s="41"/>
      <c r="G77" s="41"/>
      <c r="H77" s="41"/>
      <c r="I77" s="42"/>
    </row>
    <row r="78" spans="1:9" x14ac:dyDescent="0.25">
      <c r="A78" s="14" t="s">
        <v>23</v>
      </c>
      <c r="B78" s="14" t="s">
        <v>37</v>
      </c>
      <c r="C78" s="14" t="s">
        <v>38</v>
      </c>
      <c r="D78" s="43" t="s">
        <v>39</v>
      </c>
      <c r="E78" s="44"/>
      <c r="F78" s="25" t="s">
        <v>40</v>
      </c>
      <c r="G78" s="45" t="s">
        <v>41</v>
      </c>
      <c r="H78" s="45"/>
      <c r="I78" s="25" t="s">
        <v>42</v>
      </c>
    </row>
    <row r="79" spans="1:9" x14ac:dyDescent="0.25">
      <c r="A79" s="3">
        <v>1</v>
      </c>
      <c r="B79" s="16">
        <v>41297</v>
      </c>
      <c r="C79" s="28"/>
      <c r="D79" s="34" t="s">
        <v>62</v>
      </c>
      <c r="E79" s="35"/>
      <c r="F79" s="26"/>
      <c r="G79" s="30"/>
      <c r="H79" s="31"/>
      <c r="I79" s="26"/>
    </row>
    <row r="80" spans="1:9" x14ac:dyDescent="0.25">
      <c r="A80" s="3">
        <v>2</v>
      </c>
      <c r="B80" s="16">
        <v>41297</v>
      </c>
      <c r="C80" s="28"/>
      <c r="D80" s="34" t="s">
        <v>63</v>
      </c>
      <c r="E80" s="35"/>
      <c r="F80" s="26"/>
      <c r="G80" s="30"/>
      <c r="H80" s="31"/>
      <c r="I80" s="26"/>
    </row>
    <row r="81" spans="1:9" x14ac:dyDescent="0.25">
      <c r="A81" s="3">
        <v>3</v>
      </c>
      <c r="B81" s="16">
        <v>41297</v>
      </c>
      <c r="C81" s="54"/>
      <c r="D81" s="34" t="s">
        <v>63</v>
      </c>
      <c r="E81" s="35"/>
      <c r="F81" s="26"/>
      <c r="G81" s="30"/>
      <c r="H81" s="31"/>
      <c r="I81" s="26"/>
    </row>
    <row r="82" spans="1:9" x14ac:dyDescent="0.25">
      <c r="A82" s="3">
        <v>4</v>
      </c>
      <c r="B82" s="16">
        <v>41297</v>
      </c>
      <c r="C82" s="54"/>
      <c r="D82" s="34" t="s">
        <v>64</v>
      </c>
      <c r="E82" s="35"/>
      <c r="F82" s="26"/>
      <c r="G82" s="30"/>
      <c r="H82" s="31"/>
      <c r="I82" s="26"/>
    </row>
    <row r="84" spans="1:9" ht="21.75" customHeight="1" x14ac:dyDescent="0.25">
      <c r="A84" s="40" t="s">
        <v>66</v>
      </c>
      <c r="B84" s="41"/>
      <c r="C84" s="41"/>
      <c r="D84" s="41"/>
      <c r="E84" s="41"/>
      <c r="F84" s="41"/>
      <c r="G84" s="41"/>
      <c r="H84" s="41"/>
      <c r="I84" s="42"/>
    </row>
    <row r="85" spans="1:9" x14ac:dyDescent="0.25">
      <c r="A85" s="14" t="s">
        <v>23</v>
      </c>
      <c r="B85" s="14" t="s">
        <v>37</v>
      </c>
      <c r="C85" s="14" t="s">
        <v>38</v>
      </c>
      <c r="D85" s="43" t="s">
        <v>39</v>
      </c>
      <c r="E85" s="44"/>
      <c r="F85" s="25" t="s">
        <v>40</v>
      </c>
      <c r="G85" s="45" t="s">
        <v>41</v>
      </c>
      <c r="H85" s="45"/>
      <c r="I85" s="25" t="s">
        <v>42</v>
      </c>
    </row>
    <row r="86" spans="1:9" x14ac:dyDescent="0.25">
      <c r="A86" s="3">
        <v>1</v>
      </c>
      <c r="B86" s="16">
        <v>41299</v>
      </c>
      <c r="C86" s="28"/>
      <c r="D86" s="34" t="s">
        <v>62</v>
      </c>
      <c r="E86" s="35"/>
      <c r="F86" s="26"/>
      <c r="G86" s="30"/>
      <c r="H86" s="31"/>
      <c r="I86" s="26"/>
    </row>
    <row r="87" spans="1:9" x14ac:dyDescent="0.25">
      <c r="A87" s="3">
        <v>2</v>
      </c>
      <c r="B87" s="16">
        <v>41299</v>
      </c>
      <c r="C87" s="28"/>
      <c r="D87" s="34" t="s">
        <v>63</v>
      </c>
      <c r="E87" s="35"/>
      <c r="F87" s="26"/>
      <c r="G87" s="30"/>
      <c r="H87" s="31"/>
      <c r="I87" s="26"/>
    </row>
    <row r="89" spans="1:9" ht="23.25" customHeight="1" x14ac:dyDescent="0.25">
      <c r="A89" s="40" t="s">
        <v>67</v>
      </c>
      <c r="B89" s="41"/>
      <c r="C89" s="41"/>
      <c r="D89" s="41"/>
      <c r="E89" s="41"/>
      <c r="F89" s="41"/>
      <c r="G89" s="41"/>
      <c r="H89" s="41"/>
      <c r="I89" s="42"/>
    </row>
    <row r="90" spans="1:9" x14ac:dyDescent="0.25">
      <c r="A90" s="14" t="s">
        <v>23</v>
      </c>
      <c r="B90" s="14" t="s">
        <v>37</v>
      </c>
      <c r="C90" s="14" t="s">
        <v>38</v>
      </c>
      <c r="D90" s="43" t="s">
        <v>39</v>
      </c>
      <c r="E90" s="44"/>
      <c r="F90" s="25" t="s">
        <v>40</v>
      </c>
      <c r="G90" s="45" t="s">
        <v>41</v>
      </c>
      <c r="H90" s="45"/>
      <c r="I90" s="25" t="s">
        <v>42</v>
      </c>
    </row>
    <row r="91" spans="1:9" x14ac:dyDescent="0.25">
      <c r="A91" s="3">
        <v>1</v>
      </c>
      <c r="B91" s="16">
        <v>41301</v>
      </c>
      <c r="C91" s="8">
        <v>0.71875</v>
      </c>
      <c r="D91" s="34" t="s">
        <v>62</v>
      </c>
      <c r="E91" s="35"/>
      <c r="F91" s="26"/>
      <c r="G91" s="32"/>
      <c r="H91" s="33"/>
      <c r="I91" s="26"/>
    </row>
    <row r="92" spans="1:9" ht="30.75" customHeight="1" x14ac:dyDescent="0.45">
      <c r="A92" s="36" t="s">
        <v>68</v>
      </c>
      <c r="B92" s="37"/>
      <c r="C92" s="37"/>
      <c r="D92" s="37"/>
      <c r="E92" s="37"/>
      <c r="F92" s="38"/>
      <c r="G92" s="39"/>
      <c r="H92" s="39"/>
      <c r="I92" s="39"/>
    </row>
  </sheetData>
  <sheetProtection password="F10B" sheet="1" objects="1" scenarios="1"/>
  <mergeCells count="32">
    <mergeCell ref="G4:H4"/>
    <mergeCell ref="A3:I3"/>
    <mergeCell ref="A2:I2"/>
    <mergeCell ref="A66:I66"/>
    <mergeCell ref="G67:H67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A77:I77"/>
    <mergeCell ref="D78:E78"/>
    <mergeCell ref="G78:H78"/>
    <mergeCell ref="D79:E79"/>
    <mergeCell ref="D85:E85"/>
    <mergeCell ref="A84:I84"/>
    <mergeCell ref="G85:H85"/>
    <mergeCell ref="D86:E86"/>
    <mergeCell ref="D80:E80"/>
    <mergeCell ref="D81:E81"/>
    <mergeCell ref="D82:E82"/>
    <mergeCell ref="D91:E91"/>
    <mergeCell ref="A92:F92"/>
    <mergeCell ref="G92:I92"/>
    <mergeCell ref="D87:E87"/>
    <mergeCell ref="A89:I89"/>
    <mergeCell ref="D90:E90"/>
    <mergeCell ref="G90:H90"/>
  </mergeCells>
  <conditionalFormatting sqref="F5">
    <cfRule type="expression" dxfId="227" priority="260">
      <formula>"IF(G4&gt;H4,1,0)"</formula>
    </cfRule>
  </conditionalFormatting>
  <conditionalFormatting sqref="G5">
    <cfRule type="expression" dxfId="226" priority="259">
      <formula>ISBLANK(G5)</formula>
    </cfRule>
  </conditionalFormatting>
  <conditionalFormatting sqref="H5">
    <cfRule type="expression" dxfId="225" priority="258">
      <formula>ISBLANK(H5)</formula>
    </cfRule>
  </conditionalFormatting>
  <conditionalFormatting sqref="G6">
    <cfRule type="expression" dxfId="224" priority="257">
      <formula>ISBLANK(G6)</formula>
    </cfRule>
  </conditionalFormatting>
  <conditionalFormatting sqref="H6">
    <cfRule type="expression" dxfId="223" priority="256">
      <formula>ISBLANK(H6)</formula>
    </cfRule>
  </conditionalFormatting>
  <conditionalFormatting sqref="H5">
    <cfRule type="expression" dxfId="222" priority="255">
      <formula>ISBLANK(H5)</formula>
    </cfRule>
  </conditionalFormatting>
  <conditionalFormatting sqref="G6">
    <cfRule type="expression" dxfId="221" priority="254">
      <formula>ISBLANK(G6)</formula>
    </cfRule>
  </conditionalFormatting>
  <conditionalFormatting sqref="H6">
    <cfRule type="expression" dxfId="220" priority="253">
      <formula>ISBLANK(H6)</formula>
    </cfRule>
  </conditionalFormatting>
  <conditionalFormatting sqref="G7">
    <cfRule type="expression" dxfId="219" priority="252">
      <formula>ISBLANK(G7)</formula>
    </cfRule>
  </conditionalFormatting>
  <conditionalFormatting sqref="H7">
    <cfRule type="expression" dxfId="218" priority="251">
      <formula>ISBLANK(H7)</formula>
    </cfRule>
  </conditionalFormatting>
  <conditionalFormatting sqref="G8">
    <cfRule type="expression" dxfId="217" priority="250">
      <formula>ISBLANK(G8)</formula>
    </cfRule>
  </conditionalFormatting>
  <conditionalFormatting sqref="H8">
    <cfRule type="expression" dxfId="216" priority="249">
      <formula>ISBLANK(H8)</formula>
    </cfRule>
  </conditionalFormatting>
  <conditionalFormatting sqref="G9">
    <cfRule type="expression" dxfId="215" priority="248">
      <formula>ISBLANK(G9)</formula>
    </cfRule>
  </conditionalFormatting>
  <conditionalFormatting sqref="H9">
    <cfRule type="expression" dxfId="214" priority="247">
      <formula>ISBLANK(H9)</formula>
    </cfRule>
  </conditionalFormatting>
  <conditionalFormatting sqref="H8">
    <cfRule type="expression" dxfId="213" priority="246">
      <formula>ISBLANK(H8)</formula>
    </cfRule>
  </conditionalFormatting>
  <conditionalFormatting sqref="G9">
    <cfRule type="expression" dxfId="212" priority="245">
      <formula>ISBLANK(G9)</formula>
    </cfRule>
  </conditionalFormatting>
  <conditionalFormatting sqref="H9">
    <cfRule type="expression" dxfId="211" priority="244">
      <formula>ISBLANK(H9)</formula>
    </cfRule>
  </conditionalFormatting>
  <conditionalFormatting sqref="G10">
    <cfRule type="expression" dxfId="210" priority="243">
      <formula>ISBLANK(G10)</formula>
    </cfRule>
  </conditionalFormatting>
  <conditionalFormatting sqref="H10">
    <cfRule type="expression" dxfId="209" priority="242">
      <formula>ISBLANK(H10)</formula>
    </cfRule>
  </conditionalFormatting>
  <conditionalFormatting sqref="G11">
    <cfRule type="expression" dxfId="208" priority="241">
      <formula>ISBLANK(G11)</formula>
    </cfRule>
  </conditionalFormatting>
  <conditionalFormatting sqref="H11">
    <cfRule type="expression" dxfId="207" priority="240">
      <formula>ISBLANK(H11)</formula>
    </cfRule>
  </conditionalFormatting>
  <conditionalFormatting sqref="G12">
    <cfRule type="expression" dxfId="206" priority="239">
      <formula>ISBLANK(G12)</formula>
    </cfRule>
  </conditionalFormatting>
  <conditionalFormatting sqref="H12">
    <cfRule type="expression" dxfId="205" priority="238">
      <formula>ISBLANK(H12)</formula>
    </cfRule>
  </conditionalFormatting>
  <conditionalFormatting sqref="H11">
    <cfRule type="expression" dxfId="204" priority="237">
      <formula>ISBLANK(H11)</formula>
    </cfRule>
  </conditionalFormatting>
  <conditionalFormatting sqref="G12">
    <cfRule type="expression" dxfId="203" priority="236">
      <formula>ISBLANK(G12)</formula>
    </cfRule>
  </conditionalFormatting>
  <conditionalFormatting sqref="H12">
    <cfRule type="expression" dxfId="202" priority="235">
      <formula>ISBLANK(H12)</formula>
    </cfRule>
  </conditionalFormatting>
  <conditionalFormatting sqref="G13">
    <cfRule type="expression" dxfId="201" priority="234">
      <formula>ISBLANK(G13)</formula>
    </cfRule>
  </conditionalFormatting>
  <conditionalFormatting sqref="H13">
    <cfRule type="expression" dxfId="200" priority="233">
      <formula>ISBLANK(H13)</formula>
    </cfRule>
  </conditionalFormatting>
  <conditionalFormatting sqref="G14">
    <cfRule type="expression" dxfId="199" priority="232">
      <formula>ISBLANK(G14)</formula>
    </cfRule>
  </conditionalFormatting>
  <conditionalFormatting sqref="H14">
    <cfRule type="expression" dxfId="198" priority="231">
      <formula>ISBLANK(H14)</formula>
    </cfRule>
  </conditionalFormatting>
  <conditionalFormatting sqref="G15">
    <cfRule type="expression" dxfId="197" priority="230">
      <formula>ISBLANK(G15)</formula>
    </cfRule>
  </conditionalFormatting>
  <conditionalFormatting sqref="H15">
    <cfRule type="expression" dxfId="196" priority="229">
      <formula>ISBLANK(H15)</formula>
    </cfRule>
  </conditionalFormatting>
  <conditionalFormatting sqref="H14">
    <cfRule type="expression" dxfId="195" priority="228">
      <formula>ISBLANK(H14)</formula>
    </cfRule>
  </conditionalFormatting>
  <conditionalFormatting sqref="G15">
    <cfRule type="expression" dxfId="194" priority="227">
      <formula>ISBLANK(G15)</formula>
    </cfRule>
  </conditionalFormatting>
  <conditionalFormatting sqref="H15">
    <cfRule type="expression" dxfId="193" priority="226">
      <formula>ISBLANK(H15)</formula>
    </cfRule>
  </conditionalFormatting>
  <conditionalFormatting sqref="G16">
    <cfRule type="expression" dxfId="192" priority="225">
      <formula>ISBLANK(G16)</formula>
    </cfRule>
  </conditionalFormatting>
  <conditionalFormatting sqref="H16">
    <cfRule type="expression" dxfId="191" priority="224">
      <formula>ISBLANK(H16)</formula>
    </cfRule>
  </conditionalFormatting>
  <conditionalFormatting sqref="G17">
    <cfRule type="expression" dxfId="190" priority="223">
      <formula>ISBLANK(G17)</formula>
    </cfRule>
  </conditionalFormatting>
  <conditionalFormatting sqref="H17">
    <cfRule type="expression" dxfId="189" priority="222">
      <formula>ISBLANK(H17)</formula>
    </cfRule>
  </conditionalFormatting>
  <conditionalFormatting sqref="G18">
    <cfRule type="expression" dxfId="188" priority="221">
      <formula>ISBLANK(G18)</formula>
    </cfRule>
  </conditionalFormatting>
  <conditionalFormatting sqref="H18">
    <cfRule type="expression" dxfId="187" priority="220">
      <formula>ISBLANK(H18)</formula>
    </cfRule>
  </conditionalFormatting>
  <conditionalFormatting sqref="H17">
    <cfRule type="expression" dxfId="186" priority="219">
      <formula>ISBLANK(H17)</formula>
    </cfRule>
  </conditionalFormatting>
  <conditionalFormatting sqref="G18">
    <cfRule type="expression" dxfId="185" priority="218">
      <formula>ISBLANK(G18)</formula>
    </cfRule>
  </conditionalFormatting>
  <conditionalFormatting sqref="H18">
    <cfRule type="expression" dxfId="184" priority="217">
      <formula>ISBLANK(H18)</formula>
    </cfRule>
  </conditionalFormatting>
  <conditionalFormatting sqref="G19">
    <cfRule type="expression" dxfId="183" priority="216">
      <formula>ISBLANK(G19)</formula>
    </cfRule>
  </conditionalFormatting>
  <conditionalFormatting sqref="H19">
    <cfRule type="expression" dxfId="182" priority="215">
      <formula>ISBLANK(H19)</formula>
    </cfRule>
  </conditionalFormatting>
  <conditionalFormatting sqref="G20">
    <cfRule type="expression" dxfId="181" priority="214">
      <formula>ISBLANK(G20)</formula>
    </cfRule>
  </conditionalFormatting>
  <conditionalFormatting sqref="H20">
    <cfRule type="expression" dxfId="180" priority="213">
      <formula>ISBLANK(H20)</formula>
    </cfRule>
  </conditionalFormatting>
  <conditionalFormatting sqref="G21">
    <cfRule type="expression" dxfId="179" priority="212">
      <formula>ISBLANK(G21)</formula>
    </cfRule>
  </conditionalFormatting>
  <conditionalFormatting sqref="H21">
    <cfRule type="expression" dxfId="178" priority="211">
      <formula>ISBLANK(H21)</formula>
    </cfRule>
  </conditionalFormatting>
  <conditionalFormatting sqref="H20">
    <cfRule type="expression" dxfId="177" priority="210">
      <formula>ISBLANK(H20)</formula>
    </cfRule>
  </conditionalFormatting>
  <conditionalFormatting sqref="G21">
    <cfRule type="expression" dxfId="176" priority="209">
      <formula>ISBLANK(G21)</formula>
    </cfRule>
  </conditionalFormatting>
  <conditionalFormatting sqref="H21">
    <cfRule type="expression" dxfId="175" priority="208">
      <formula>ISBLANK(H21)</formula>
    </cfRule>
  </conditionalFormatting>
  <conditionalFormatting sqref="G22">
    <cfRule type="expression" dxfId="174" priority="207">
      <formula>ISBLANK(G22)</formula>
    </cfRule>
  </conditionalFormatting>
  <conditionalFormatting sqref="H22">
    <cfRule type="expression" dxfId="173" priority="206">
      <formula>ISBLANK(H22)</formula>
    </cfRule>
  </conditionalFormatting>
  <conditionalFormatting sqref="G23">
    <cfRule type="expression" dxfId="172" priority="205">
      <formula>ISBLANK(G23)</formula>
    </cfRule>
  </conditionalFormatting>
  <conditionalFormatting sqref="H23">
    <cfRule type="expression" dxfId="171" priority="204">
      <formula>ISBLANK(H23)</formula>
    </cfRule>
  </conditionalFormatting>
  <conditionalFormatting sqref="G24">
    <cfRule type="expression" dxfId="170" priority="203">
      <formula>ISBLANK(G24)</formula>
    </cfRule>
  </conditionalFormatting>
  <conditionalFormatting sqref="H24">
    <cfRule type="expression" dxfId="169" priority="202">
      <formula>ISBLANK(H24)</formula>
    </cfRule>
  </conditionalFormatting>
  <conditionalFormatting sqref="H23">
    <cfRule type="expression" dxfId="168" priority="201">
      <formula>ISBLANK(H23)</formula>
    </cfRule>
  </conditionalFormatting>
  <conditionalFormatting sqref="G24">
    <cfRule type="expression" dxfId="167" priority="200">
      <formula>ISBLANK(G24)</formula>
    </cfRule>
  </conditionalFormatting>
  <conditionalFormatting sqref="H24">
    <cfRule type="expression" dxfId="166" priority="199">
      <formula>ISBLANK(H24)</formula>
    </cfRule>
  </conditionalFormatting>
  <conditionalFormatting sqref="G25">
    <cfRule type="expression" dxfId="165" priority="198">
      <formula>ISBLANK(G25)</formula>
    </cfRule>
  </conditionalFormatting>
  <conditionalFormatting sqref="H25">
    <cfRule type="expression" dxfId="164" priority="197">
      <formula>ISBLANK(H25)</formula>
    </cfRule>
  </conditionalFormatting>
  <conditionalFormatting sqref="G26">
    <cfRule type="expression" dxfId="163" priority="196">
      <formula>ISBLANK(G26)</formula>
    </cfRule>
  </conditionalFormatting>
  <conditionalFormatting sqref="H26">
    <cfRule type="expression" dxfId="162" priority="195">
      <formula>ISBLANK(H26)</formula>
    </cfRule>
  </conditionalFormatting>
  <conditionalFormatting sqref="G27">
    <cfRule type="expression" dxfId="161" priority="194">
      <formula>ISBLANK(G27)</formula>
    </cfRule>
  </conditionalFormatting>
  <conditionalFormatting sqref="H27">
    <cfRule type="expression" dxfId="160" priority="193">
      <formula>ISBLANK(H27)</formula>
    </cfRule>
  </conditionalFormatting>
  <conditionalFormatting sqref="H26">
    <cfRule type="expression" dxfId="159" priority="192">
      <formula>ISBLANK(H26)</formula>
    </cfRule>
  </conditionalFormatting>
  <conditionalFormatting sqref="G27">
    <cfRule type="expression" dxfId="158" priority="191">
      <formula>ISBLANK(G27)</formula>
    </cfRule>
  </conditionalFormatting>
  <conditionalFormatting sqref="H27">
    <cfRule type="expression" dxfId="157" priority="190">
      <formula>ISBLANK(H27)</formula>
    </cfRule>
  </conditionalFormatting>
  <conditionalFormatting sqref="G28">
    <cfRule type="expression" dxfId="156" priority="189">
      <formula>ISBLANK(G28)</formula>
    </cfRule>
  </conditionalFormatting>
  <conditionalFormatting sqref="H28">
    <cfRule type="expression" dxfId="155" priority="188">
      <formula>ISBLANK(H28)</formula>
    </cfRule>
  </conditionalFormatting>
  <conditionalFormatting sqref="G29">
    <cfRule type="expression" dxfId="154" priority="187">
      <formula>ISBLANK(G29)</formula>
    </cfRule>
  </conditionalFormatting>
  <conditionalFormatting sqref="H29">
    <cfRule type="expression" dxfId="153" priority="186">
      <formula>ISBLANK(H29)</formula>
    </cfRule>
  </conditionalFormatting>
  <conditionalFormatting sqref="G30">
    <cfRule type="expression" dxfId="152" priority="185">
      <formula>ISBLANK(G30)</formula>
    </cfRule>
  </conditionalFormatting>
  <conditionalFormatting sqref="H30">
    <cfRule type="expression" dxfId="151" priority="184">
      <formula>ISBLANK(H30)</formula>
    </cfRule>
  </conditionalFormatting>
  <conditionalFormatting sqref="H29">
    <cfRule type="expression" dxfId="150" priority="183">
      <formula>ISBLANK(H29)</formula>
    </cfRule>
  </conditionalFormatting>
  <conditionalFormatting sqref="G30">
    <cfRule type="expression" dxfId="149" priority="182">
      <formula>ISBLANK(G30)</formula>
    </cfRule>
  </conditionalFormatting>
  <conditionalFormatting sqref="H30">
    <cfRule type="expression" dxfId="148" priority="181">
      <formula>ISBLANK(H30)</formula>
    </cfRule>
  </conditionalFormatting>
  <conditionalFormatting sqref="G31">
    <cfRule type="expression" dxfId="147" priority="180">
      <formula>ISBLANK(G31)</formula>
    </cfRule>
  </conditionalFormatting>
  <conditionalFormatting sqref="H31">
    <cfRule type="expression" dxfId="146" priority="179">
      <formula>ISBLANK(H31)</formula>
    </cfRule>
  </conditionalFormatting>
  <conditionalFormatting sqref="G32">
    <cfRule type="expression" dxfId="145" priority="178">
      <formula>ISBLANK(G32)</formula>
    </cfRule>
  </conditionalFormatting>
  <conditionalFormatting sqref="H32">
    <cfRule type="expression" dxfId="144" priority="177">
      <formula>ISBLANK(H32)</formula>
    </cfRule>
  </conditionalFormatting>
  <conditionalFormatting sqref="G33">
    <cfRule type="expression" dxfId="143" priority="176">
      <formula>ISBLANK(G33)</formula>
    </cfRule>
  </conditionalFormatting>
  <conditionalFormatting sqref="H33">
    <cfRule type="expression" dxfId="142" priority="175">
      <formula>ISBLANK(H33)</formula>
    </cfRule>
  </conditionalFormatting>
  <conditionalFormatting sqref="H32">
    <cfRule type="expression" dxfId="141" priority="174">
      <formula>ISBLANK(H32)</formula>
    </cfRule>
  </conditionalFormatting>
  <conditionalFormatting sqref="G33">
    <cfRule type="expression" dxfId="140" priority="173">
      <formula>ISBLANK(G33)</formula>
    </cfRule>
  </conditionalFormatting>
  <conditionalFormatting sqref="H33">
    <cfRule type="expression" dxfId="139" priority="172">
      <formula>ISBLANK(H33)</formula>
    </cfRule>
  </conditionalFormatting>
  <conditionalFormatting sqref="G34">
    <cfRule type="expression" dxfId="138" priority="171">
      <formula>ISBLANK(G34)</formula>
    </cfRule>
  </conditionalFormatting>
  <conditionalFormatting sqref="H34">
    <cfRule type="expression" dxfId="137" priority="170">
      <formula>ISBLANK(H34)</formula>
    </cfRule>
  </conditionalFormatting>
  <conditionalFormatting sqref="G35">
    <cfRule type="expression" dxfId="136" priority="169">
      <formula>ISBLANK(G35)</formula>
    </cfRule>
  </conditionalFormatting>
  <conditionalFormatting sqref="H35">
    <cfRule type="expression" dxfId="135" priority="168">
      <formula>ISBLANK(H35)</formula>
    </cfRule>
  </conditionalFormatting>
  <conditionalFormatting sqref="G36">
    <cfRule type="expression" dxfId="134" priority="167">
      <formula>ISBLANK(G36)</formula>
    </cfRule>
  </conditionalFormatting>
  <conditionalFormatting sqref="H36">
    <cfRule type="expression" dxfId="133" priority="166">
      <formula>ISBLANK(H36)</formula>
    </cfRule>
  </conditionalFormatting>
  <conditionalFormatting sqref="H35">
    <cfRule type="expression" dxfId="132" priority="165">
      <formula>ISBLANK(H35)</formula>
    </cfRule>
  </conditionalFormatting>
  <conditionalFormatting sqref="G36">
    <cfRule type="expression" dxfId="131" priority="164">
      <formula>ISBLANK(G36)</formula>
    </cfRule>
  </conditionalFormatting>
  <conditionalFormatting sqref="H36">
    <cfRule type="expression" dxfId="130" priority="163">
      <formula>ISBLANK(H36)</formula>
    </cfRule>
  </conditionalFormatting>
  <conditionalFormatting sqref="G37">
    <cfRule type="expression" dxfId="129" priority="162">
      <formula>ISBLANK(G37)</formula>
    </cfRule>
  </conditionalFormatting>
  <conditionalFormatting sqref="H37">
    <cfRule type="expression" dxfId="128" priority="161">
      <formula>ISBLANK(H37)</formula>
    </cfRule>
  </conditionalFormatting>
  <conditionalFormatting sqref="G38">
    <cfRule type="expression" dxfId="127" priority="160">
      <formula>ISBLANK(G38)</formula>
    </cfRule>
  </conditionalFormatting>
  <conditionalFormatting sqref="H38">
    <cfRule type="expression" dxfId="126" priority="159">
      <formula>ISBLANK(H38)</formula>
    </cfRule>
  </conditionalFormatting>
  <conditionalFormatting sqref="G39">
    <cfRule type="expression" dxfId="125" priority="158">
      <formula>ISBLANK(G39)</formula>
    </cfRule>
  </conditionalFormatting>
  <conditionalFormatting sqref="H39">
    <cfRule type="expression" dxfId="124" priority="157">
      <formula>ISBLANK(H39)</formula>
    </cfRule>
  </conditionalFormatting>
  <conditionalFormatting sqref="H38">
    <cfRule type="expression" dxfId="123" priority="156">
      <formula>ISBLANK(H38)</formula>
    </cfRule>
  </conditionalFormatting>
  <conditionalFormatting sqref="G39">
    <cfRule type="expression" dxfId="122" priority="155">
      <formula>ISBLANK(G39)</formula>
    </cfRule>
  </conditionalFormatting>
  <conditionalFormatting sqref="H39">
    <cfRule type="expression" dxfId="121" priority="154">
      <formula>ISBLANK(H39)</formula>
    </cfRule>
  </conditionalFormatting>
  <conditionalFormatting sqref="G40">
    <cfRule type="expression" dxfId="120" priority="153">
      <formula>ISBLANK(G40)</formula>
    </cfRule>
  </conditionalFormatting>
  <conditionalFormatting sqref="H40">
    <cfRule type="expression" dxfId="119" priority="152">
      <formula>ISBLANK(H40)</formula>
    </cfRule>
  </conditionalFormatting>
  <conditionalFormatting sqref="G41">
    <cfRule type="expression" dxfId="118" priority="151">
      <formula>ISBLANK(G41)</formula>
    </cfRule>
  </conditionalFormatting>
  <conditionalFormatting sqref="H41">
    <cfRule type="expression" dxfId="117" priority="150">
      <formula>ISBLANK(H41)</formula>
    </cfRule>
  </conditionalFormatting>
  <conditionalFormatting sqref="G42">
    <cfRule type="expression" dxfId="116" priority="149">
      <formula>ISBLANK(G42)</formula>
    </cfRule>
  </conditionalFormatting>
  <conditionalFormatting sqref="H42">
    <cfRule type="expression" dxfId="115" priority="148">
      <formula>ISBLANK(H42)</formula>
    </cfRule>
  </conditionalFormatting>
  <conditionalFormatting sqref="H41">
    <cfRule type="expression" dxfId="114" priority="147">
      <formula>ISBLANK(H41)</formula>
    </cfRule>
  </conditionalFormatting>
  <conditionalFormatting sqref="G42">
    <cfRule type="expression" dxfId="113" priority="146">
      <formula>ISBLANK(G42)</formula>
    </cfRule>
  </conditionalFormatting>
  <conditionalFormatting sqref="H42">
    <cfRule type="expression" dxfId="112" priority="145">
      <formula>ISBLANK(H42)</formula>
    </cfRule>
  </conditionalFormatting>
  <conditionalFormatting sqref="G43">
    <cfRule type="expression" dxfId="111" priority="144">
      <formula>ISBLANK(G43)</formula>
    </cfRule>
  </conditionalFormatting>
  <conditionalFormatting sqref="H43">
    <cfRule type="expression" dxfId="110" priority="143">
      <formula>ISBLANK(H43)</formula>
    </cfRule>
  </conditionalFormatting>
  <conditionalFormatting sqref="G44">
    <cfRule type="expression" dxfId="109" priority="142">
      <formula>ISBLANK(G44)</formula>
    </cfRule>
  </conditionalFormatting>
  <conditionalFormatting sqref="H44">
    <cfRule type="expression" dxfId="108" priority="141">
      <formula>ISBLANK(H44)</formula>
    </cfRule>
  </conditionalFormatting>
  <conditionalFormatting sqref="G45">
    <cfRule type="expression" dxfId="107" priority="140">
      <formula>ISBLANK(G45)</formula>
    </cfRule>
  </conditionalFormatting>
  <conditionalFormatting sqref="H45">
    <cfRule type="expression" dxfId="106" priority="139">
      <formula>ISBLANK(H45)</formula>
    </cfRule>
  </conditionalFormatting>
  <conditionalFormatting sqref="H44">
    <cfRule type="expression" dxfId="105" priority="138">
      <formula>ISBLANK(H44)</formula>
    </cfRule>
  </conditionalFormatting>
  <conditionalFormatting sqref="G45">
    <cfRule type="expression" dxfId="104" priority="137">
      <formula>ISBLANK(G45)</formula>
    </cfRule>
  </conditionalFormatting>
  <conditionalFormatting sqref="H45">
    <cfRule type="expression" dxfId="103" priority="136">
      <formula>ISBLANK(H45)</formula>
    </cfRule>
  </conditionalFormatting>
  <conditionalFormatting sqref="G46">
    <cfRule type="expression" dxfId="102" priority="135">
      <formula>ISBLANK(G46)</formula>
    </cfRule>
  </conditionalFormatting>
  <conditionalFormatting sqref="H46">
    <cfRule type="expression" dxfId="101" priority="134">
      <formula>ISBLANK(H46)</formula>
    </cfRule>
  </conditionalFormatting>
  <conditionalFormatting sqref="G47">
    <cfRule type="expression" dxfId="100" priority="133">
      <formula>ISBLANK(G47)</formula>
    </cfRule>
  </conditionalFormatting>
  <conditionalFormatting sqref="H47">
    <cfRule type="expression" dxfId="99" priority="132">
      <formula>ISBLANK(H47)</formula>
    </cfRule>
  </conditionalFormatting>
  <conditionalFormatting sqref="G48">
    <cfRule type="expression" dxfId="98" priority="131">
      <formula>ISBLANK(G48)</formula>
    </cfRule>
  </conditionalFormatting>
  <conditionalFormatting sqref="H48">
    <cfRule type="expression" dxfId="97" priority="130">
      <formula>ISBLANK(H48)</formula>
    </cfRule>
  </conditionalFormatting>
  <conditionalFormatting sqref="H47">
    <cfRule type="expression" dxfId="96" priority="129">
      <formula>ISBLANK(H47)</formula>
    </cfRule>
  </conditionalFormatting>
  <conditionalFormatting sqref="G48">
    <cfRule type="expression" dxfId="95" priority="128">
      <formula>ISBLANK(G48)</formula>
    </cfRule>
  </conditionalFormatting>
  <conditionalFormatting sqref="H48">
    <cfRule type="expression" dxfId="94" priority="127">
      <formula>ISBLANK(H48)</formula>
    </cfRule>
  </conditionalFormatting>
  <conditionalFormatting sqref="G49">
    <cfRule type="expression" dxfId="93" priority="126">
      <formula>ISBLANK(G49)</formula>
    </cfRule>
  </conditionalFormatting>
  <conditionalFormatting sqref="H49">
    <cfRule type="expression" dxfId="92" priority="125">
      <formula>ISBLANK(H49)</formula>
    </cfRule>
  </conditionalFormatting>
  <conditionalFormatting sqref="G50">
    <cfRule type="expression" dxfId="91" priority="124">
      <formula>ISBLANK(G50)</formula>
    </cfRule>
  </conditionalFormatting>
  <conditionalFormatting sqref="H50">
    <cfRule type="expression" dxfId="90" priority="123">
      <formula>ISBLANK(H50)</formula>
    </cfRule>
  </conditionalFormatting>
  <conditionalFormatting sqref="G51">
    <cfRule type="expression" dxfId="89" priority="122">
      <formula>ISBLANK(G51)</formula>
    </cfRule>
  </conditionalFormatting>
  <conditionalFormatting sqref="H51">
    <cfRule type="expression" dxfId="88" priority="121">
      <formula>ISBLANK(H51)</formula>
    </cfRule>
  </conditionalFormatting>
  <conditionalFormatting sqref="H50">
    <cfRule type="expression" dxfId="87" priority="120">
      <formula>ISBLANK(H50)</formula>
    </cfRule>
  </conditionalFormatting>
  <conditionalFormatting sqref="G51">
    <cfRule type="expression" dxfId="86" priority="119">
      <formula>ISBLANK(G51)</formula>
    </cfRule>
  </conditionalFormatting>
  <conditionalFormatting sqref="H51">
    <cfRule type="expression" dxfId="85" priority="118">
      <formula>ISBLANK(H51)</formula>
    </cfRule>
  </conditionalFormatting>
  <conditionalFormatting sqref="G52">
    <cfRule type="expression" dxfId="84" priority="117">
      <formula>ISBLANK(G52)</formula>
    </cfRule>
  </conditionalFormatting>
  <conditionalFormatting sqref="H52">
    <cfRule type="expression" dxfId="83" priority="116">
      <formula>ISBLANK(H52)</formula>
    </cfRule>
  </conditionalFormatting>
  <conditionalFormatting sqref="G53">
    <cfRule type="expression" dxfId="82" priority="115">
      <formula>ISBLANK(G53)</formula>
    </cfRule>
  </conditionalFormatting>
  <conditionalFormatting sqref="H53">
    <cfRule type="expression" dxfId="81" priority="114">
      <formula>ISBLANK(H53)</formula>
    </cfRule>
  </conditionalFormatting>
  <conditionalFormatting sqref="G54">
    <cfRule type="expression" dxfId="80" priority="113">
      <formula>ISBLANK(G54)</formula>
    </cfRule>
  </conditionalFormatting>
  <conditionalFormatting sqref="H54">
    <cfRule type="expression" dxfId="79" priority="112">
      <formula>ISBLANK(H54)</formula>
    </cfRule>
  </conditionalFormatting>
  <conditionalFormatting sqref="H53">
    <cfRule type="expression" dxfId="78" priority="111">
      <formula>ISBLANK(H53)</formula>
    </cfRule>
  </conditionalFormatting>
  <conditionalFormatting sqref="G54">
    <cfRule type="expression" dxfId="77" priority="110">
      <formula>ISBLANK(G54)</formula>
    </cfRule>
  </conditionalFormatting>
  <conditionalFormatting sqref="H54">
    <cfRule type="expression" dxfId="76" priority="109">
      <formula>ISBLANK(H54)</formula>
    </cfRule>
  </conditionalFormatting>
  <conditionalFormatting sqref="G55">
    <cfRule type="expression" dxfId="75" priority="108">
      <formula>ISBLANK(G55)</formula>
    </cfRule>
  </conditionalFormatting>
  <conditionalFormatting sqref="H55">
    <cfRule type="expression" dxfId="74" priority="107">
      <formula>ISBLANK(H55)</formula>
    </cfRule>
  </conditionalFormatting>
  <conditionalFormatting sqref="G56">
    <cfRule type="expression" dxfId="73" priority="106">
      <formula>ISBLANK(G56)</formula>
    </cfRule>
  </conditionalFormatting>
  <conditionalFormatting sqref="H56">
    <cfRule type="expression" dxfId="72" priority="105">
      <formula>ISBLANK(H56)</formula>
    </cfRule>
  </conditionalFormatting>
  <conditionalFormatting sqref="G57">
    <cfRule type="expression" dxfId="71" priority="104">
      <formula>ISBLANK(G57)</formula>
    </cfRule>
  </conditionalFormatting>
  <conditionalFormatting sqref="H57">
    <cfRule type="expression" dxfId="70" priority="103">
      <formula>ISBLANK(H57)</formula>
    </cfRule>
  </conditionalFormatting>
  <conditionalFormatting sqref="H56">
    <cfRule type="expression" dxfId="69" priority="102">
      <formula>ISBLANK(H56)</formula>
    </cfRule>
  </conditionalFormatting>
  <conditionalFormatting sqref="G57">
    <cfRule type="expression" dxfId="68" priority="101">
      <formula>ISBLANK(G57)</formula>
    </cfRule>
  </conditionalFormatting>
  <conditionalFormatting sqref="H57">
    <cfRule type="expression" dxfId="67" priority="100">
      <formula>ISBLANK(H57)</formula>
    </cfRule>
  </conditionalFormatting>
  <conditionalFormatting sqref="G58">
    <cfRule type="expression" dxfId="66" priority="99">
      <formula>ISBLANK(G58)</formula>
    </cfRule>
  </conditionalFormatting>
  <conditionalFormatting sqref="H58">
    <cfRule type="expression" dxfId="65" priority="98">
      <formula>ISBLANK(H58)</formula>
    </cfRule>
  </conditionalFormatting>
  <conditionalFormatting sqref="G59">
    <cfRule type="expression" dxfId="64" priority="97">
      <formula>ISBLANK(G59)</formula>
    </cfRule>
  </conditionalFormatting>
  <conditionalFormatting sqref="H59">
    <cfRule type="expression" dxfId="63" priority="96">
      <formula>ISBLANK(H59)</formula>
    </cfRule>
  </conditionalFormatting>
  <conditionalFormatting sqref="G60">
    <cfRule type="expression" dxfId="62" priority="95">
      <formula>ISBLANK(G60)</formula>
    </cfRule>
  </conditionalFormatting>
  <conditionalFormatting sqref="H60">
    <cfRule type="expression" dxfId="61" priority="94">
      <formula>ISBLANK(H60)</formula>
    </cfRule>
  </conditionalFormatting>
  <conditionalFormatting sqref="H59">
    <cfRule type="expression" dxfId="60" priority="93">
      <formula>ISBLANK(H59)</formula>
    </cfRule>
  </conditionalFormatting>
  <conditionalFormatting sqref="G60">
    <cfRule type="expression" dxfId="59" priority="92">
      <formula>ISBLANK(G60)</formula>
    </cfRule>
  </conditionalFormatting>
  <conditionalFormatting sqref="H60">
    <cfRule type="expression" dxfId="58" priority="91">
      <formula>ISBLANK(H60)</formula>
    </cfRule>
  </conditionalFormatting>
  <conditionalFormatting sqref="G61">
    <cfRule type="expression" dxfId="57" priority="90">
      <formula>ISBLANK(G61)</formula>
    </cfRule>
  </conditionalFormatting>
  <conditionalFormatting sqref="H61">
    <cfRule type="expression" dxfId="56" priority="89">
      <formula>ISBLANK(H61)</formula>
    </cfRule>
  </conditionalFormatting>
  <conditionalFormatting sqref="G62">
    <cfRule type="expression" dxfId="55" priority="88">
      <formula>ISBLANK(G62)</formula>
    </cfRule>
  </conditionalFormatting>
  <conditionalFormatting sqref="H62">
    <cfRule type="expression" dxfId="54" priority="87">
      <formula>ISBLANK(H62)</formula>
    </cfRule>
  </conditionalFormatting>
  <conditionalFormatting sqref="G63">
    <cfRule type="expression" dxfId="53" priority="86">
      <formula>ISBLANK(G63)</formula>
    </cfRule>
  </conditionalFormatting>
  <conditionalFormatting sqref="H63">
    <cfRule type="expression" dxfId="52" priority="85">
      <formula>ISBLANK(H63)</formula>
    </cfRule>
  </conditionalFormatting>
  <conditionalFormatting sqref="H62">
    <cfRule type="expression" dxfId="51" priority="84">
      <formula>ISBLANK(H62)</formula>
    </cfRule>
  </conditionalFormatting>
  <conditionalFormatting sqref="G63">
    <cfRule type="expression" dxfId="50" priority="83">
      <formula>ISBLANK(G63)</formula>
    </cfRule>
  </conditionalFormatting>
  <conditionalFormatting sqref="H63">
    <cfRule type="expression" dxfId="49" priority="82">
      <formula>ISBLANK(H63)</formula>
    </cfRule>
  </conditionalFormatting>
  <conditionalFormatting sqref="G64">
    <cfRule type="expression" dxfId="48" priority="81">
      <formula>ISBLANK(G64)</formula>
    </cfRule>
  </conditionalFormatting>
  <conditionalFormatting sqref="H64">
    <cfRule type="expression" dxfId="47" priority="80">
      <formula>ISBLANK(H64)</formula>
    </cfRule>
  </conditionalFormatting>
  <conditionalFormatting sqref="G68">
    <cfRule type="expression" dxfId="46" priority="79">
      <formula>ISBLANK(G68)</formula>
    </cfRule>
  </conditionalFormatting>
  <conditionalFormatting sqref="H68">
    <cfRule type="expression" dxfId="45" priority="78">
      <formula>ISBLANK(H68)</formula>
    </cfRule>
  </conditionalFormatting>
  <conditionalFormatting sqref="G81">
    <cfRule type="expression" dxfId="44" priority="35">
      <formula>ISBLANK(G81)</formula>
    </cfRule>
  </conditionalFormatting>
  <conditionalFormatting sqref="H81">
    <cfRule type="expression" dxfId="43" priority="34">
      <formula>ISBLANK(H81)</formula>
    </cfRule>
  </conditionalFormatting>
  <conditionalFormatting sqref="G82">
    <cfRule type="expression" dxfId="42" priority="33">
      <formula>ISBLANK(G82)</formula>
    </cfRule>
  </conditionalFormatting>
  <conditionalFormatting sqref="H82">
    <cfRule type="expression" dxfId="41" priority="32">
      <formula>ISBLANK(H82)</formula>
    </cfRule>
  </conditionalFormatting>
  <conditionalFormatting sqref="H81">
    <cfRule type="expression" dxfId="40" priority="31">
      <formula>ISBLANK(H81)</formula>
    </cfRule>
  </conditionalFormatting>
  <conditionalFormatting sqref="G82">
    <cfRule type="expression" dxfId="39" priority="30">
      <formula>ISBLANK(G82)</formula>
    </cfRule>
  </conditionalFormatting>
  <conditionalFormatting sqref="H82">
    <cfRule type="expression" dxfId="38" priority="29">
      <formula>ISBLANK(H82)</formula>
    </cfRule>
  </conditionalFormatting>
  <conditionalFormatting sqref="G86">
    <cfRule type="expression" dxfId="37" priority="17">
      <formula>ISBLANK(G86)</formula>
    </cfRule>
  </conditionalFormatting>
  <conditionalFormatting sqref="H86">
    <cfRule type="expression" dxfId="36" priority="16">
      <formula>ISBLANK(H86)</formula>
    </cfRule>
  </conditionalFormatting>
  <conditionalFormatting sqref="G87">
    <cfRule type="expression" dxfId="35" priority="15">
      <formula>ISBLANK(G87)</formula>
    </cfRule>
  </conditionalFormatting>
  <conditionalFormatting sqref="G91">
    <cfRule type="expression" dxfId="34" priority="6">
      <formula>ISBLANK(G91)</formula>
    </cfRule>
  </conditionalFormatting>
  <conditionalFormatting sqref="H91">
    <cfRule type="expression" dxfId="33" priority="5">
      <formula>ISBLANK(H91)</formula>
    </cfRule>
  </conditionalFormatting>
  <conditionalFormatting sqref="G69">
    <cfRule type="expression" dxfId="32" priority="59">
      <formula>ISBLANK(G69)</formula>
    </cfRule>
  </conditionalFormatting>
  <conditionalFormatting sqref="H69">
    <cfRule type="expression" dxfId="31" priority="58">
      <formula>ISBLANK(H69)</formula>
    </cfRule>
  </conditionalFormatting>
  <conditionalFormatting sqref="G70">
    <cfRule type="expression" dxfId="30" priority="57">
      <formula>ISBLANK(G70)</formula>
    </cfRule>
  </conditionalFormatting>
  <conditionalFormatting sqref="H70">
    <cfRule type="expression" dxfId="29" priority="56">
      <formula>ISBLANK(H70)</formula>
    </cfRule>
  </conditionalFormatting>
  <conditionalFormatting sqref="G71">
    <cfRule type="expression" dxfId="28" priority="55">
      <formula>ISBLANK(G71)</formula>
    </cfRule>
  </conditionalFormatting>
  <conditionalFormatting sqref="H71">
    <cfRule type="expression" dxfId="27" priority="54">
      <formula>ISBLANK(H71)</formula>
    </cfRule>
  </conditionalFormatting>
  <conditionalFormatting sqref="H70">
    <cfRule type="expression" dxfId="26" priority="53">
      <formula>ISBLANK(H70)</formula>
    </cfRule>
  </conditionalFormatting>
  <conditionalFormatting sqref="G71">
    <cfRule type="expression" dxfId="25" priority="52">
      <formula>ISBLANK(G71)</formula>
    </cfRule>
  </conditionalFormatting>
  <conditionalFormatting sqref="H71">
    <cfRule type="expression" dxfId="24" priority="51">
      <formula>ISBLANK(H71)</formula>
    </cfRule>
  </conditionalFormatting>
  <conditionalFormatting sqref="G72">
    <cfRule type="expression" dxfId="23" priority="50">
      <formula>ISBLANK(G72)</formula>
    </cfRule>
  </conditionalFormatting>
  <conditionalFormatting sqref="H72">
    <cfRule type="expression" dxfId="22" priority="49">
      <formula>ISBLANK(H72)</formula>
    </cfRule>
  </conditionalFormatting>
  <conditionalFormatting sqref="G73">
    <cfRule type="expression" dxfId="21" priority="48">
      <formula>ISBLANK(G73)</formula>
    </cfRule>
  </conditionalFormatting>
  <conditionalFormatting sqref="H73">
    <cfRule type="expression" dxfId="20" priority="47">
      <formula>ISBLANK(H73)</formula>
    </cfRule>
  </conditionalFormatting>
  <conditionalFormatting sqref="G74">
    <cfRule type="expression" dxfId="19" priority="46">
      <formula>ISBLANK(G74)</formula>
    </cfRule>
  </conditionalFormatting>
  <conditionalFormatting sqref="H74">
    <cfRule type="expression" dxfId="18" priority="45">
      <formula>ISBLANK(H74)</formula>
    </cfRule>
  </conditionalFormatting>
  <conditionalFormatting sqref="H73">
    <cfRule type="expression" dxfId="17" priority="44">
      <formula>ISBLANK(H73)</formula>
    </cfRule>
  </conditionalFormatting>
  <conditionalFormatting sqref="G74">
    <cfRule type="expression" dxfId="16" priority="43">
      <formula>ISBLANK(G74)</formula>
    </cfRule>
  </conditionalFormatting>
  <conditionalFormatting sqref="H74">
    <cfRule type="expression" dxfId="15" priority="42">
      <formula>ISBLANK(H74)</formula>
    </cfRule>
  </conditionalFormatting>
  <conditionalFormatting sqref="G75">
    <cfRule type="expression" dxfId="14" priority="41">
      <formula>ISBLANK(G75)</formula>
    </cfRule>
  </conditionalFormatting>
  <conditionalFormatting sqref="H75">
    <cfRule type="expression" dxfId="13" priority="40">
      <formula>ISBLANK(H75)</formula>
    </cfRule>
  </conditionalFormatting>
  <conditionalFormatting sqref="H79">
    <cfRule type="expression" dxfId="12" priority="38">
      <formula>ISBLANK(H79)</formula>
    </cfRule>
  </conditionalFormatting>
  <conditionalFormatting sqref="G80">
    <cfRule type="expression" dxfId="11" priority="37">
      <formula>ISBLANK(G80)</formula>
    </cfRule>
  </conditionalFormatting>
  <conditionalFormatting sqref="H80">
    <cfRule type="expression" dxfId="10" priority="36">
      <formula>ISBLANK(H80)</formula>
    </cfRule>
  </conditionalFormatting>
  <conditionalFormatting sqref="H87">
    <cfRule type="expression" dxfId="9" priority="14">
      <formula>ISBLANK(H87)</formula>
    </cfRule>
  </conditionalFormatting>
  <conditionalFormatting sqref="G79">
    <cfRule type="expression" dxfId="8" priority="2">
      <formula>ISBLANK(G79)</formula>
    </cfRule>
  </conditionalFormatting>
  <conditionalFormatting sqref="G79">
    <cfRule type="expression" dxfId="7" priority="1">
      <formula>ISBLANK(G79)</formula>
    </cfRule>
  </conditionalFormatting>
  <pageMargins left="0.7" right="0.7" top="0.75" bottom="0.75" header="0.3" footer="0.3"/>
  <pageSetup paperSize="9" orientation="portrait" horizontalDpi="200" verticalDpi="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M91"/>
  <sheetViews>
    <sheetView showGridLines="0" topLeftCell="M1" zoomScale="80" zoomScaleNormal="80" workbookViewId="0">
      <pane ySplit="3" topLeftCell="A4" activePane="bottomLeft" state="frozen"/>
      <selection pane="bottomLeft" activeCell="AD27" sqref="AD27"/>
    </sheetView>
  </sheetViews>
  <sheetFormatPr defaultRowHeight="15" x14ac:dyDescent="0.25"/>
  <cols>
    <col min="1" max="1" width="5.5703125" bestFit="1" customWidth="1"/>
    <col min="2" max="2" width="11.28515625" customWidth="1"/>
    <col min="3" max="3" width="11.7109375" bestFit="1" customWidth="1"/>
    <col min="4" max="4" width="13.7109375" customWidth="1"/>
    <col min="5" max="5" width="11.42578125" customWidth="1"/>
    <col min="6" max="6" width="16.7109375" bestFit="1" customWidth="1"/>
    <col min="7" max="8" width="7.42578125" customWidth="1"/>
    <col min="9" max="9" width="16.7109375" bestFit="1" customWidth="1"/>
    <col min="11" max="11" width="7" customWidth="1"/>
    <col min="12" max="12" width="19.85546875" customWidth="1"/>
    <col min="13" max="13" width="6.7109375" bestFit="1" customWidth="1"/>
    <col min="14" max="15" width="7.85546875" bestFit="1" customWidth="1"/>
    <col min="16" max="16" width="10.28515625" bestFit="1" customWidth="1"/>
    <col min="17" max="18" width="9.28515625" bestFit="1" customWidth="1"/>
    <col min="20" max="20" width="6.5703125" customWidth="1"/>
    <col min="21" max="21" width="16.28515625" customWidth="1"/>
    <col min="22" max="22" width="6" bestFit="1" customWidth="1"/>
    <col min="23" max="23" width="7.140625" bestFit="1" customWidth="1"/>
    <col min="24" max="24" width="7.5703125" customWidth="1"/>
    <col min="25" max="25" width="10.5703125" customWidth="1"/>
    <col min="26" max="26" width="8.42578125" bestFit="1" customWidth="1"/>
    <col min="27" max="27" width="9.28515625" bestFit="1" customWidth="1"/>
    <col min="28" max="31" width="9.28515625" customWidth="1"/>
    <col min="33" max="33" width="13" bestFit="1" customWidth="1"/>
    <col min="34" max="34" width="11.85546875" customWidth="1"/>
    <col min="35" max="35" width="12" customWidth="1"/>
    <col min="36" max="36" width="11.85546875" customWidth="1"/>
    <col min="38" max="38" width="15.140625" bestFit="1" customWidth="1"/>
    <col min="39" max="39" width="13.42578125" bestFit="1" customWidth="1"/>
  </cols>
  <sheetData>
    <row r="2" spans="1:39" ht="23.25" customHeight="1" x14ac:dyDescent="0.25">
      <c r="A2" s="40" t="s">
        <v>55</v>
      </c>
      <c r="B2" s="41"/>
      <c r="C2" s="41"/>
      <c r="D2" s="41"/>
      <c r="E2" s="41"/>
      <c r="F2" s="41"/>
      <c r="G2" s="41"/>
      <c r="H2" s="41"/>
      <c r="I2" s="42"/>
    </row>
    <row r="3" spans="1:39" ht="19.5" customHeight="1" x14ac:dyDescent="0.25">
      <c r="A3" s="18" t="s">
        <v>23</v>
      </c>
      <c r="B3" s="18" t="s">
        <v>37</v>
      </c>
      <c r="C3" s="18"/>
      <c r="D3" s="18" t="s">
        <v>39</v>
      </c>
      <c r="E3" s="18" t="s">
        <v>9</v>
      </c>
      <c r="F3" s="18" t="s">
        <v>40</v>
      </c>
      <c r="G3" s="45" t="s">
        <v>41</v>
      </c>
      <c r="H3" s="45"/>
      <c r="I3" s="18" t="s">
        <v>42</v>
      </c>
      <c r="AG3" s="3" t="s">
        <v>49</v>
      </c>
      <c r="AH3" s="3" t="s">
        <v>21</v>
      </c>
      <c r="AI3" s="3" t="s">
        <v>21</v>
      </c>
      <c r="AJ3" s="3" t="s">
        <v>50</v>
      </c>
      <c r="AL3" s="3" t="s">
        <v>51</v>
      </c>
      <c r="AM3" s="3" t="s">
        <v>52</v>
      </c>
    </row>
    <row r="4" spans="1:39" x14ac:dyDescent="0.25">
      <c r="A4" s="3">
        <v>1</v>
      </c>
      <c r="B4" s="9">
        <v>41286</v>
      </c>
      <c r="C4" s="8">
        <v>0.66666666666666663</v>
      </c>
      <c r="D4" s="11" t="s">
        <v>43</v>
      </c>
      <c r="E4" s="7" t="s">
        <v>44</v>
      </c>
      <c r="F4" s="3" t="s">
        <v>3</v>
      </c>
      <c r="G4" s="7" t="str">
        <f>IF('Светско Ракомет 2013'!G5="","",'Светско Ракомет 2013'!G5)</f>
        <v/>
      </c>
      <c r="H4" s="7" t="str">
        <f>IF('Светско Ракомет 2013'!H5="","",'Светско Ракомет 2013'!H5)</f>
        <v/>
      </c>
      <c r="I4" s="3" t="s">
        <v>15</v>
      </c>
      <c r="L4" s="13"/>
      <c r="AG4" s="3" t="str">
        <f t="shared" ref="AG4:AG35" si="0">IF(G4="","",IF(H4="","",IF(G4&gt;H4,F4,IF(G4&lt;H4,I4,""))))</f>
        <v/>
      </c>
      <c r="AH4" s="3" t="str">
        <f t="shared" ref="AH4:AH35" si="1">IF(G4="","",IF(H4="","",IF(G4=H4,F4,"")))</f>
        <v/>
      </c>
      <c r="AI4" s="3" t="str">
        <f t="shared" ref="AI4:AI35" si="2">IF(G4="","",IF(H4="","",IF(G4=H4,I4,"")))</f>
        <v/>
      </c>
      <c r="AJ4" s="3" t="str">
        <f t="shared" ref="AJ4:AJ35" si="3">IF(G4="","",IF(H4="","",IF(G4&lt;H4,F4,IF(G4&gt;H4,I4,""))))</f>
        <v/>
      </c>
      <c r="AL4" s="3" t="str">
        <f t="shared" ref="AL4:AL35" si="4">IF(G4="","",IF(H4="","",G4-H4 ))</f>
        <v/>
      </c>
      <c r="AM4" s="3" t="str">
        <f t="shared" ref="AM4:AM35" si="5">IF(G4="","",IF(H4="","",H4-G4 ))</f>
        <v/>
      </c>
    </row>
    <row r="5" spans="1:39" x14ac:dyDescent="0.25">
      <c r="A5" s="3">
        <v>2</v>
      </c>
      <c r="B5" s="9">
        <v>41286</v>
      </c>
      <c r="C5" s="8">
        <v>0.76041666666666663</v>
      </c>
      <c r="D5" s="11" t="s">
        <v>43</v>
      </c>
      <c r="E5" s="7" t="s">
        <v>44</v>
      </c>
      <c r="F5" s="4" t="s">
        <v>14</v>
      </c>
      <c r="G5" s="7" t="str">
        <f>IF('Светско Ракомет 2013'!G6="","",'Светско Ракомет 2013'!G6)</f>
        <v/>
      </c>
      <c r="H5" s="7" t="str">
        <f>IF('Светско Ракомет 2013'!H6="","",'Светско Ракомет 2013'!H6)</f>
        <v/>
      </c>
      <c r="I5" s="4" t="s">
        <v>16</v>
      </c>
      <c r="L5" s="13"/>
      <c r="AG5" s="3" t="str">
        <f t="shared" si="0"/>
        <v/>
      </c>
      <c r="AH5" s="3" t="str">
        <f t="shared" si="1"/>
        <v/>
      </c>
      <c r="AI5" s="3" t="str">
        <f t="shared" si="2"/>
        <v/>
      </c>
      <c r="AJ5" s="3" t="str">
        <f t="shared" si="3"/>
        <v/>
      </c>
      <c r="AL5" s="3" t="str">
        <f t="shared" si="4"/>
        <v/>
      </c>
      <c r="AM5" s="3" t="str">
        <f t="shared" si="5"/>
        <v/>
      </c>
    </row>
    <row r="6" spans="1:39" x14ac:dyDescent="0.25">
      <c r="A6" s="3">
        <v>3</v>
      </c>
      <c r="B6" s="9">
        <v>41286</v>
      </c>
      <c r="C6" s="8">
        <v>0.86458333333333337</v>
      </c>
      <c r="D6" s="11" t="s">
        <v>43</v>
      </c>
      <c r="E6" s="7" t="s">
        <v>44</v>
      </c>
      <c r="F6" s="4" t="s">
        <v>2</v>
      </c>
      <c r="G6" s="7" t="str">
        <f>IF('Светско Ракомет 2013'!G7="","",'Светско Ракомет 2013'!G7)</f>
        <v/>
      </c>
      <c r="H6" s="7" t="str">
        <f>IF('Светско Ракомет 2013'!H7="","",'Светско Ракомет 2013'!H7)</f>
        <v/>
      </c>
      <c r="I6" s="4" t="s">
        <v>17</v>
      </c>
      <c r="L6" s="13"/>
      <c r="AG6" s="3" t="str">
        <f t="shared" si="0"/>
        <v/>
      </c>
      <c r="AH6" s="3" t="str">
        <f t="shared" si="1"/>
        <v/>
      </c>
      <c r="AI6" s="3" t="str">
        <f t="shared" si="2"/>
        <v/>
      </c>
      <c r="AJ6" s="3" t="str">
        <f t="shared" si="3"/>
        <v/>
      </c>
      <c r="AL6" s="3" t="str">
        <f t="shared" si="4"/>
        <v/>
      </c>
      <c r="AM6" s="3" t="str">
        <f t="shared" si="5"/>
        <v/>
      </c>
    </row>
    <row r="7" spans="1:39" x14ac:dyDescent="0.25">
      <c r="A7" s="19">
        <v>4</v>
      </c>
      <c r="B7" s="20">
        <v>41286</v>
      </c>
      <c r="C7" s="21">
        <v>0.65625</v>
      </c>
      <c r="D7" s="22" t="s">
        <v>45</v>
      </c>
      <c r="E7" s="23" t="s">
        <v>8</v>
      </c>
      <c r="F7" s="24" t="s">
        <v>26</v>
      </c>
      <c r="G7" s="7" t="str">
        <f>IF('Светско Ракомет 2013'!G8="","",'Светско Ракомет 2013'!G8)</f>
        <v/>
      </c>
      <c r="H7" s="7" t="str">
        <f>IF('Светско Ракомет 2013'!H8="","",'Светско Ракомет 2013'!H8)</f>
        <v/>
      </c>
      <c r="I7" s="24" t="s">
        <v>24</v>
      </c>
      <c r="L7" s="13"/>
      <c r="AG7" s="3" t="str">
        <f t="shared" si="0"/>
        <v/>
      </c>
      <c r="AH7" s="3" t="str">
        <f t="shared" si="1"/>
        <v/>
      </c>
      <c r="AI7" s="3" t="str">
        <f t="shared" si="2"/>
        <v/>
      </c>
      <c r="AJ7" s="3" t="str">
        <f t="shared" si="3"/>
        <v/>
      </c>
      <c r="AL7" s="3" t="str">
        <f t="shared" si="4"/>
        <v/>
      </c>
      <c r="AM7" s="3" t="str">
        <f t="shared" si="5"/>
        <v/>
      </c>
    </row>
    <row r="8" spans="1:39" x14ac:dyDescent="0.25">
      <c r="A8" s="3">
        <v>5</v>
      </c>
      <c r="B8" s="9">
        <v>41286</v>
      </c>
      <c r="C8" s="8">
        <v>0.75</v>
      </c>
      <c r="D8" s="11" t="s">
        <v>45</v>
      </c>
      <c r="E8" s="7" t="s">
        <v>8</v>
      </c>
      <c r="F8" s="4" t="s">
        <v>25</v>
      </c>
      <c r="G8" s="7" t="str">
        <f>IF('Светско Ракомет 2013'!G9="","",'Светско Ракомет 2013'!G9)</f>
        <v/>
      </c>
      <c r="H8" s="7" t="str">
        <f>IF('Светско Ракомет 2013'!H9="","",'Светско Ракомет 2013'!H9)</f>
        <v/>
      </c>
      <c r="I8" s="4" t="s">
        <v>5</v>
      </c>
      <c r="AG8" s="3" t="str">
        <f t="shared" si="0"/>
        <v/>
      </c>
      <c r="AH8" s="3" t="str">
        <f t="shared" si="1"/>
        <v/>
      </c>
      <c r="AI8" s="3" t="str">
        <f t="shared" si="2"/>
        <v/>
      </c>
      <c r="AJ8" s="3" t="str">
        <f t="shared" si="3"/>
        <v/>
      </c>
      <c r="AL8" s="3" t="str">
        <f t="shared" si="4"/>
        <v/>
      </c>
      <c r="AM8" s="3" t="str">
        <f t="shared" si="5"/>
        <v/>
      </c>
    </row>
    <row r="9" spans="1:39" x14ac:dyDescent="0.25">
      <c r="A9" s="3">
        <v>6</v>
      </c>
      <c r="B9" s="9">
        <v>41286</v>
      </c>
      <c r="C9" s="8">
        <v>0.84375</v>
      </c>
      <c r="D9" s="11" t="s">
        <v>45</v>
      </c>
      <c r="E9" s="7" t="s">
        <v>8</v>
      </c>
      <c r="F9" s="4" t="s">
        <v>1</v>
      </c>
      <c r="G9" s="7" t="str">
        <f>IF('Светско Ракомет 2013'!G10="","",'Светско Ракомет 2013'!G10)</f>
        <v/>
      </c>
      <c r="H9" s="7" t="str">
        <f>IF('Светско Ракомет 2013'!H10="","",'Светско Ракомет 2013'!H10)</f>
        <v/>
      </c>
      <c r="I9" s="4" t="s">
        <v>27</v>
      </c>
      <c r="AG9" s="3" t="str">
        <f t="shared" si="0"/>
        <v/>
      </c>
      <c r="AH9" s="3" t="str">
        <f t="shared" si="1"/>
        <v/>
      </c>
      <c r="AI9" s="3" t="str">
        <f t="shared" si="2"/>
        <v/>
      </c>
      <c r="AJ9" s="3" t="str">
        <f t="shared" si="3"/>
        <v/>
      </c>
      <c r="AL9" s="3" t="str">
        <f t="shared" si="4"/>
        <v/>
      </c>
      <c r="AM9" s="3" t="str">
        <f t="shared" si="5"/>
        <v/>
      </c>
    </row>
    <row r="10" spans="1:39" x14ac:dyDescent="0.25">
      <c r="A10" s="3">
        <v>7</v>
      </c>
      <c r="B10" s="9">
        <v>41286</v>
      </c>
      <c r="C10" s="8">
        <v>0.65625</v>
      </c>
      <c r="D10" s="11" t="s">
        <v>46</v>
      </c>
      <c r="E10" s="7" t="s">
        <v>47</v>
      </c>
      <c r="F10" s="4" t="s">
        <v>32</v>
      </c>
      <c r="G10" s="7" t="str">
        <f>IF('Светско Ракомет 2013'!G11="","",'Светско Ракомет 2013'!G11)</f>
        <v/>
      </c>
      <c r="H10" s="7" t="str">
        <f>IF('Светско Ракомет 2013'!H11="","",'Светско Ракомет 2013'!H11)</f>
        <v/>
      </c>
      <c r="I10" s="4" t="s">
        <v>30</v>
      </c>
      <c r="AG10" s="3" t="str">
        <f t="shared" si="0"/>
        <v/>
      </c>
      <c r="AH10" s="3" t="str">
        <f t="shared" si="1"/>
        <v/>
      </c>
      <c r="AI10" s="3" t="str">
        <f t="shared" si="2"/>
        <v/>
      </c>
      <c r="AJ10" s="3" t="str">
        <f t="shared" si="3"/>
        <v/>
      </c>
      <c r="AL10" s="3" t="str">
        <f t="shared" si="4"/>
        <v/>
      </c>
      <c r="AM10" s="3" t="str">
        <f t="shared" si="5"/>
        <v/>
      </c>
    </row>
    <row r="11" spans="1:39" x14ac:dyDescent="0.25">
      <c r="A11" s="3">
        <v>8</v>
      </c>
      <c r="B11" s="9">
        <v>41286</v>
      </c>
      <c r="C11" s="8">
        <v>0.75</v>
      </c>
      <c r="D11" s="11" t="s">
        <v>46</v>
      </c>
      <c r="E11" s="7" t="s">
        <v>47</v>
      </c>
      <c r="F11" s="4" t="s">
        <v>31</v>
      </c>
      <c r="G11" s="7" t="str">
        <f>IF('Светско Ракомет 2013'!G12="","",'Светско Ракомет 2013'!G12)</f>
        <v/>
      </c>
      <c r="H11" s="7" t="str">
        <f>IF('Светско Ракомет 2013'!H12="","",'Светско Ракомет 2013'!H12)</f>
        <v/>
      </c>
      <c r="I11" s="4" t="s">
        <v>28</v>
      </c>
      <c r="AG11" s="3" t="str">
        <f t="shared" si="0"/>
        <v/>
      </c>
      <c r="AH11" s="3" t="str">
        <f t="shared" si="1"/>
        <v/>
      </c>
      <c r="AI11" s="3" t="str">
        <f t="shared" si="2"/>
        <v/>
      </c>
      <c r="AJ11" s="3" t="str">
        <f t="shared" si="3"/>
        <v/>
      </c>
      <c r="AL11" s="3" t="str">
        <f t="shared" si="4"/>
        <v/>
      </c>
      <c r="AM11" s="3" t="str">
        <f t="shared" si="5"/>
        <v/>
      </c>
    </row>
    <row r="12" spans="1:39" ht="16.5" customHeight="1" x14ac:dyDescent="0.25">
      <c r="A12" s="3">
        <v>9</v>
      </c>
      <c r="B12" s="9">
        <v>41286</v>
      </c>
      <c r="C12" s="8">
        <v>0.84375</v>
      </c>
      <c r="D12" s="11" t="s">
        <v>46</v>
      </c>
      <c r="E12" s="7" t="s">
        <v>47</v>
      </c>
      <c r="F12" s="4" t="s">
        <v>4</v>
      </c>
      <c r="G12" s="7" t="str">
        <f>IF('Светско Ракомет 2013'!G13="","",'Светско Ракомет 2013'!G13)</f>
        <v/>
      </c>
      <c r="H12" s="7" t="str">
        <f>IF('Светско Ракомет 2013'!H13="","",'Светско Ракомет 2013'!H13)</f>
        <v/>
      </c>
      <c r="I12" s="4" t="s">
        <v>29</v>
      </c>
      <c r="K12" s="52" t="s">
        <v>10</v>
      </c>
      <c r="L12" s="52"/>
      <c r="M12" s="52"/>
      <c r="N12" s="52"/>
      <c r="O12" s="52"/>
      <c r="P12" s="52"/>
      <c r="Q12" s="52"/>
      <c r="R12" s="52"/>
      <c r="T12" s="53" t="s">
        <v>10</v>
      </c>
      <c r="U12" s="53"/>
      <c r="V12" s="53"/>
      <c r="W12" s="53"/>
      <c r="X12" s="53"/>
      <c r="Y12" s="53"/>
      <c r="Z12" s="53"/>
      <c r="AA12" s="53"/>
      <c r="AB12" s="15"/>
      <c r="AC12" s="15"/>
      <c r="AD12" s="15"/>
      <c r="AE12" s="15"/>
      <c r="AG12" s="3" t="str">
        <f t="shared" si="0"/>
        <v/>
      </c>
      <c r="AH12" s="3" t="str">
        <f t="shared" si="1"/>
        <v/>
      </c>
      <c r="AI12" s="3" t="str">
        <f t="shared" si="2"/>
        <v/>
      </c>
      <c r="AJ12" s="3" t="str">
        <f t="shared" si="3"/>
        <v/>
      </c>
      <c r="AL12" s="3" t="str">
        <f t="shared" si="4"/>
        <v/>
      </c>
      <c r="AM12" s="3" t="str">
        <f t="shared" si="5"/>
        <v/>
      </c>
    </row>
    <row r="13" spans="1:39" x14ac:dyDescent="0.25">
      <c r="A13" s="3">
        <v>10</v>
      </c>
      <c r="B13" s="10">
        <v>41285</v>
      </c>
      <c r="C13" s="8">
        <v>0.79166666666666663</v>
      </c>
      <c r="D13" s="11" t="s">
        <v>48</v>
      </c>
      <c r="E13" s="7" t="s">
        <v>7</v>
      </c>
      <c r="F13" s="4" t="s">
        <v>6</v>
      </c>
      <c r="G13" s="7" t="str">
        <f>IF('Светско Ракомет 2013'!G14="","",'Светско Ракомет 2013'!G14)</f>
        <v/>
      </c>
      <c r="H13" s="7" t="str">
        <f>IF('Светско Ракомет 2013'!H14="","",'Светско Ракомет 2013'!H14)</f>
        <v/>
      </c>
      <c r="I13" s="4" t="s">
        <v>33</v>
      </c>
      <c r="K13" s="18" t="s">
        <v>23</v>
      </c>
      <c r="L13" s="18" t="s">
        <v>18</v>
      </c>
      <c r="M13" s="18" t="s">
        <v>19</v>
      </c>
      <c r="N13" s="18" t="s">
        <v>54</v>
      </c>
      <c r="O13" s="18" t="s">
        <v>20</v>
      </c>
      <c r="P13" s="18" t="s">
        <v>21</v>
      </c>
      <c r="Q13" s="18" t="s">
        <v>22</v>
      </c>
      <c r="R13" s="18" t="s">
        <v>53</v>
      </c>
      <c r="T13" s="7" t="s">
        <v>23</v>
      </c>
      <c r="U13" s="3" t="s">
        <v>18</v>
      </c>
      <c r="V13" s="5" t="s">
        <v>19</v>
      </c>
      <c r="W13" s="5" t="s">
        <v>54</v>
      </c>
      <c r="X13" s="5" t="s">
        <v>20</v>
      </c>
      <c r="Y13" s="5" t="s">
        <v>21</v>
      </c>
      <c r="Z13" s="5" t="s">
        <v>22</v>
      </c>
      <c r="AA13" s="5" t="s">
        <v>53</v>
      </c>
      <c r="AB13" s="2" t="s">
        <v>58</v>
      </c>
      <c r="AC13" s="2" t="s">
        <v>56</v>
      </c>
      <c r="AD13" s="2" t="s">
        <v>57</v>
      </c>
      <c r="AE13" s="2" t="s">
        <v>59</v>
      </c>
      <c r="AG13" s="3" t="str">
        <f t="shared" si="0"/>
        <v/>
      </c>
      <c r="AH13" s="3" t="str">
        <f t="shared" si="1"/>
        <v/>
      </c>
      <c r="AI13" s="3" t="str">
        <f t="shared" si="2"/>
        <v/>
      </c>
      <c r="AJ13" s="3" t="str">
        <f t="shared" si="3"/>
        <v/>
      </c>
      <c r="AL13" s="3" t="str">
        <f t="shared" si="4"/>
        <v/>
      </c>
      <c r="AM13" s="3" t="str">
        <f t="shared" si="5"/>
        <v/>
      </c>
    </row>
    <row r="14" spans="1:39" x14ac:dyDescent="0.25">
      <c r="A14" s="3">
        <v>11</v>
      </c>
      <c r="B14" s="9">
        <v>41286</v>
      </c>
      <c r="C14" s="8">
        <v>0.69791666666666663</v>
      </c>
      <c r="D14" s="11" t="s">
        <v>48</v>
      </c>
      <c r="E14" s="7" t="s">
        <v>7</v>
      </c>
      <c r="F14" s="4" t="s">
        <v>0</v>
      </c>
      <c r="G14" s="7" t="str">
        <f>IF('Светско Ракомет 2013'!G15="","",'Светско Ракомет 2013'!G15)</f>
        <v/>
      </c>
      <c r="H14" s="7" t="str">
        <f>IF('Светско Ракомет 2013'!H15="","",'Светско Ракомет 2013'!H15)</f>
        <v/>
      </c>
      <c r="I14" s="4" t="s">
        <v>34</v>
      </c>
      <c r="K14" s="7">
        <v>1</v>
      </c>
      <c r="L14" s="4" t="str">
        <f>VLOOKUP(6,ГрупаА,2,FALSE)</f>
        <v>Франција</v>
      </c>
      <c r="M14" s="5">
        <f>VLOOKUP(6,ГрупаА,3,FALSE)</f>
        <v>0</v>
      </c>
      <c r="N14" s="5">
        <f>VLOOKUP(6,ГрупаА,4,FALSE)</f>
        <v>0</v>
      </c>
      <c r="O14" s="5">
        <f>VLOOKUP(6,ГрупаА,5,FALSE)</f>
        <v>0</v>
      </c>
      <c r="P14" s="5">
        <f>VLOOKUP(6,ГрупаА,6,FALSE)</f>
        <v>0</v>
      </c>
      <c r="Q14" s="5">
        <f>VLOOKUP(6,ГрупаА,7,FALSE)</f>
        <v>0</v>
      </c>
      <c r="R14" s="5">
        <f>VLOOKUP(6,ГрупаА,8,FALSE)</f>
        <v>0</v>
      </c>
      <c r="T14" s="7">
        <f>IF(AE14&gt;AE15,1,0)+IF(AE14&gt;AE16,1,0)+IF(AE14&gt;AE17,1,0)+IF(AE14&gt;AE18,1,0)+IF(AE14&gt;AE19,1,0)+1</f>
        <v>5</v>
      </c>
      <c r="U14" s="4" t="s">
        <v>3</v>
      </c>
      <c r="V14" s="5">
        <f t="shared" ref="V14:V19" si="6">X14*2+Y14*1</f>
        <v>0</v>
      </c>
      <c r="W14" s="5">
        <f t="shared" ref="W14:W19" si="7">COUNTIF(Табела_играни_мечеви,U14)</f>
        <v>0</v>
      </c>
      <c r="X14" s="5">
        <f t="shared" ref="X14:X19" si="8">COUNTIF(Победник,U14)</f>
        <v>0</v>
      </c>
      <c r="Y14" s="5">
        <f t="shared" ref="Y14:Y19" si="9">COUNTIF(Нерешени,U14)</f>
        <v>0</v>
      </c>
      <c r="Z14" s="5">
        <f t="shared" ref="Z14:Z19" si="10">COUNTIF(Губитник,U14)</f>
        <v>0</v>
      </c>
      <c r="AA14" s="5">
        <f t="shared" ref="AA14:AA19" si="11">SUMIF(Домакини,U14,Гол_разл._дом.)+SUMIF(Гости,U14,Гол_разл._гос)</f>
        <v>0</v>
      </c>
      <c r="AB14" s="2">
        <v>0.14799999999999999</v>
      </c>
      <c r="AC14" s="2">
        <f>IF(AA14&gt;AA15,0.19,0)+IF(AA14&gt;AA16,0.19,0)+IF(AA14&gt;AA17,0.19,0)+IF(AA14&gt;AA18,0.19,0)+IF(AA14&gt;AA19,0.19,0)</f>
        <v>0</v>
      </c>
      <c r="AD14" s="2">
        <f>IF(V14&gt;V15,1,0)+IF(V14&gt;V16,1,0)+IF(V14&gt;V17,1,0)+IF(V14&gt;V18,1,0)+IF(V14&gt;V19,1,0)</f>
        <v>0</v>
      </c>
      <c r="AE14" s="2">
        <f t="shared" ref="AE14:AE19" si="12">AD14+AC14+AB14</f>
        <v>0.14799999999999999</v>
      </c>
      <c r="AG14" s="3" t="str">
        <f t="shared" si="0"/>
        <v/>
      </c>
      <c r="AH14" s="3" t="str">
        <f t="shared" si="1"/>
        <v/>
      </c>
      <c r="AI14" s="3" t="str">
        <f t="shared" si="2"/>
        <v/>
      </c>
      <c r="AJ14" s="3" t="str">
        <f t="shared" si="3"/>
        <v/>
      </c>
      <c r="AL14" s="3" t="str">
        <f t="shared" si="4"/>
        <v/>
      </c>
      <c r="AM14" s="3" t="str">
        <f t="shared" si="5"/>
        <v/>
      </c>
    </row>
    <row r="15" spans="1:39" x14ac:dyDescent="0.25">
      <c r="A15" s="3">
        <v>12</v>
      </c>
      <c r="B15" s="9">
        <v>41286</v>
      </c>
      <c r="C15" s="8">
        <v>0.79166666666666663</v>
      </c>
      <c r="D15" s="11" t="s">
        <v>48</v>
      </c>
      <c r="E15" s="7" t="s">
        <v>7</v>
      </c>
      <c r="F15" s="4" t="s">
        <v>36</v>
      </c>
      <c r="G15" s="7" t="str">
        <f>IF('Светско Ракомет 2013'!G16="","",'Светско Ракомет 2013'!G16)</f>
        <v/>
      </c>
      <c r="H15" s="7" t="str">
        <f>IF('Светско Ракомет 2013'!H16="","",'Светско Ракомет 2013'!H16)</f>
        <v/>
      </c>
      <c r="I15" s="4" t="s">
        <v>35</v>
      </c>
      <c r="K15" s="7">
        <v>2</v>
      </c>
      <c r="L15" s="4" t="str">
        <f>VLOOKUP(5,ГрупаА,2,FALSE)</f>
        <v>Германија</v>
      </c>
      <c r="M15" s="5">
        <f>VLOOKUP(5,ГрупаА,3,FALSE)</f>
        <v>0</v>
      </c>
      <c r="N15" s="5">
        <f>VLOOKUP(5,ГрупаА,4,FALSE)</f>
        <v>0</v>
      </c>
      <c r="O15" s="5">
        <f>VLOOKUP(5,ГрупаА,5,FALSE)</f>
        <v>0</v>
      </c>
      <c r="P15" s="5">
        <f>VLOOKUP(5,ГрупаА,6,FALSE)</f>
        <v>0</v>
      </c>
      <c r="Q15" s="5">
        <f>VLOOKUP(5,ГрупаА,7,FALSE)</f>
        <v>0</v>
      </c>
      <c r="R15" s="5">
        <f>VLOOKUP(5,ГрупаА,8,FALSE)</f>
        <v>0</v>
      </c>
      <c r="T15" s="7">
        <f>IF(AE15&gt;AE16,1,0)+IF(AE15&gt;AE17,1,0)+IF(AE15&gt;AE18,1,0)+IF(AE15&gt;AE19,1,0)+IF(AE15&gt;AE14,1,0)+1</f>
        <v>4</v>
      </c>
      <c r="U15" s="4" t="s">
        <v>14</v>
      </c>
      <c r="V15" s="5">
        <f t="shared" si="6"/>
        <v>0</v>
      </c>
      <c r="W15" s="5">
        <f t="shared" si="7"/>
        <v>0</v>
      </c>
      <c r="X15" s="5">
        <f t="shared" si="8"/>
        <v>0</v>
      </c>
      <c r="Y15" s="5">
        <f t="shared" si="9"/>
        <v>0</v>
      </c>
      <c r="Z15" s="5">
        <f t="shared" si="10"/>
        <v>0</v>
      </c>
      <c r="AA15" s="5">
        <f t="shared" si="11"/>
        <v>0</v>
      </c>
      <c r="AB15" s="2">
        <v>0.11099999999999999</v>
      </c>
      <c r="AC15" s="2">
        <f>IF(AA15&gt;AA14,0.19,0)+IF(AA15&gt;AA16,0.19,0)+IF(AA15&gt;AA17,0.19,0)+IF(AA15&gt;AA18,0.19,0)+IF(AA15&gt;AA19,0.19,0)</f>
        <v>0</v>
      </c>
      <c r="AD15" s="2">
        <f>IF(V15&gt;V16,1,0)+IF(V15&gt;V17,1,0)+IF(V15&gt;V18,1,0)+IF(V15&gt;V19,1,0)+IF(V15&gt;V14,1,0)</f>
        <v>0</v>
      </c>
      <c r="AE15" s="2">
        <f t="shared" si="12"/>
        <v>0.11099999999999999</v>
      </c>
      <c r="AG15" s="3" t="str">
        <f t="shared" si="0"/>
        <v/>
      </c>
      <c r="AH15" s="3" t="str">
        <f t="shared" si="1"/>
        <v/>
      </c>
      <c r="AI15" s="3" t="str">
        <f t="shared" si="2"/>
        <v/>
      </c>
      <c r="AJ15" s="3" t="str">
        <f t="shared" si="3"/>
        <v/>
      </c>
      <c r="AL15" s="3" t="str">
        <f t="shared" si="4"/>
        <v/>
      </c>
      <c r="AM15" s="3" t="str">
        <f t="shared" si="5"/>
        <v/>
      </c>
    </row>
    <row r="16" spans="1:39" x14ac:dyDescent="0.25">
      <c r="A16" s="3">
        <v>13</v>
      </c>
      <c r="B16" s="9">
        <v>41287</v>
      </c>
      <c r="C16" s="8">
        <v>0.625</v>
      </c>
      <c r="D16" s="11" t="s">
        <v>43</v>
      </c>
      <c r="E16" s="7" t="s">
        <v>44</v>
      </c>
      <c r="F16" s="3" t="s">
        <v>15</v>
      </c>
      <c r="G16" s="7" t="str">
        <f>IF('Светско Ракомет 2013'!G17="","",'Светско Ракомет 2013'!G17)</f>
        <v/>
      </c>
      <c r="H16" s="7" t="str">
        <f>IF('Светско Ракомет 2013'!H17="","",'Светско Ракомет 2013'!H17)</f>
        <v/>
      </c>
      <c r="I16" s="4" t="s">
        <v>14</v>
      </c>
      <c r="K16" s="7">
        <v>3</v>
      </c>
      <c r="L16" s="4" t="str">
        <f>VLOOKUP(4,ГрупаА,2,FALSE)</f>
        <v>Аргентина</v>
      </c>
      <c r="M16" s="5">
        <f>VLOOKUP(4,ГрупаА,3,FALSE)</f>
        <v>0</v>
      </c>
      <c r="N16" s="5">
        <f>VLOOKUP(4,ГрупаА,4,FALSE)</f>
        <v>0</v>
      </c>
      <c r="O16" s="5">
        <f>VLOOKUP(4,ГрупаА,5,FALSE)</f>
        <v>0</v>
      </c>
      <c r="P16" s="5">
        <f>VLOOKUP(4,ГрупаА,6,FALSE)</f>
        <v>0</v>
      </c>
      <c r="Q16" s="5">
        <f>VLOOKUP(4,ГрупаА,7,FALSE)</f>
        <v>0</v>
      </c>
      <c r="R16" s="5">
        <f>VLOOKUP(4,ГрупаА,8,FALSE)</f>
        <v>0</v>
      </c>
      <c r="T16" s="7">
        <f>IF(AE16&gt;AE17,1,0)+IF(AE16&gt;AE18,1,0)+IF(AE16&gt;AE19,1,0)+IF(AE16&gt;AE14,1,0)+IF(AE16&gt;AE15,1,0)+1</f>
        <v>1</v>
      </c>
      <c r="U16" s="4" t="s">
        <v>15</v>
      </c>
      <c r="V16" s="5">
        <f t="shared" si="6"/>
        <v>0</v>
      </c>
      <c r="W16" s="5">
        <f t="shared" si="7"/>
        <v>0</v>
      </c>
      <c r="X16" s="5">
        <f t="shared" si="8"/>
        <v>0</v>
      </c>
      <c r="Y16" s="5">
        <f t="shared" si="9"/>
        <v>0</v>
      </c>
      <c r="Z16" s="5">
        <f t="shared" si="10"/>
        <v>0</v>
      </c>
      <c r="AA16" s="5">
        <f t="shared" si="11"/>
        <v>0</v>
      </c>
      <c r="AB16" s="2">
        <v>0</v>
      </c>
      <c r="AC16" s="2">
        <f>IF(AA16&gt;AA14,0.19,0)+IF(AA16&gt;AA15,0.19,0)+IF(AA16&gt;AA17,0.19,0)+IF(AA16&gt;AA18,0.19,0)+IF(AA16&gt;AA19,0.19,0)</f>
        <v>0</v>
      </c>
      <c r="AD16" s="2">
        <f>IF(V16&gt;V17,1,0)+IF(V16&gt;V18,1,0)+IF(V16&gt;V19,1,0)+IF(V16&gt;V14,1,0)+IF(V16&gt;V15,1,0)</f>
        <v>0</v>
      </c>
      <c r="AE16" s="2">
        <f t="shared" si="12"/>
        <v>0</v>
      </c>
      <c r="AG16" s="3" t="str">
        <f t="shared" si="0"/>
        <v/>
      </c>
      <c r="AH16" s="3" t="str">
        <f t="shared" si="1"/>
        <v/>
      </c>
      <c r="AI16" s="3" t="str">
        <f t="shared" si="2"/>
        <v/>
      </c>
      <c r="AJ16" s="3" t="str">
        <f t="shared" si="3"/>
        <v/>
      </c>
      <c r="AL16" s="3" t="str">
        <f t="shared" si="4"/>
        <v/>
      </c>
      <c r="AM16" s="3" t="str">
        <f t="shared" si="5"/>
        <v/>
      </c>
    </row>
    <row r="17" spans="1:39" x14ac:dyDescent="0.25">
      <c r="A17" s="3">
        <v>14</v>
      </c>
      <c r="B17" s="9">
        <v>41287</v>
      </c>
      <c r="C17" s="8">
        <v>0.72222222222222221</v>
      </c>
      <c r="D17" s="11" t="s">
        <v>43</v>
      </c>
      <c r="E17" s="7" t="s">
        <v>44</v>
      </c>
      <c r="F17" s="4" t="s">
        <v>17</v>
      </c>
      <c r="G17" s="7" t="str">
        <f>IF('Светско Ракомет 2013'!G18="","",'Светско Ракомет 2013'!G18)</f>
        <v/>
      </c>
      <c r="H17" s="7" t="str">
        <f>IF('Светско Ракомет 2013'!H18="","",'Светско Ракомет 2013'!H18)</f>
        <v/>
      </c>
      <c r="I17" s="3" t="s">
        <v>3</v>
      </c>
      <c r="K17" s="7">
        <v>4</v>
      </c>
      <c r="L17" s="4" t="str">
        <f>VLOOKUP(3,ГрупаА,2,FALSE)</f>
        <v>Туниз</v>
      </c>
      <c r="M17" s="5">
        <f>VLOOKUP(3,ГрупаА,3,FALSE)</f>
        <v>0</v>
      </c>
      <c r="N17" s="5">
        <f>VLOOKUP(3,ГрупаА,4,FALSE)</f>
        <v>0</v>
      </c>
      <c r="O17" s="5">
        <f>VLOOKUP(3,ГрупаА,5,FALSE)</f>
        <v>0</v>
      </c>
      <c r="P17" s="5">
        <f>VLOOKUP(3,ГрупаА,6,FALSE)</f>
        <v>0</v>
      </c>
      <c r="Q17" s="5">
        <f>VLOOKUP(3,ГрупаА,7,FALSE)</f>
        <v>0</v>
      </c>
      <c r="R17" s="5">
        <f>VLOOKUP(3,ГрупаА,8,FALSE)</f>
        <v>0</v>
      </c>
      <c r="T17" s="7">
        <f>IF(AE17&gt;AE18,1,0)+IF(AE17&gt;AE19,1,0)+IF(AE17&gt;AE14,1,0)+IF(AE17&gt;AE15,1,0)+IF(AE17&gt;AE16,1,0)+1</f>
        <v>6</v>
      </c>
      <c r="U17" s="4" t="s">
        <v>2</v>
      </c>
      <c r="V17" s="5">
        <f t="shared" si="6"/>
        <v>0</v>
      </c>
      <c r="W17" s="5">
        <f t="shared" si="7"/>
        <v>0</v>
      </c>
      <c r="X17" s="5">
        <f t="shared" si="8"/>
        <v>0</v>
      </c>
      <c r="Y17" s="5">
        <f t="shared" si="9"/>
        <v>0</v>
      </c>
      <c r="Z17" s="5">
        <f t="shared" si="10"/>
        <v>0</v>
      </c>
      <c r="AA17" s="5">
        <f t="shared" si="11"/>
        <v>0</v>
      </c>
      <c r="AB17" s="2">
        <v>0.185</v>
      </c>
      <c r="AC17" s="2">
        <f>IF(AA17&gt;AA14,0.19,0)+IF(AA17&gt;AA15,0.19,0)+IF(AA17&gt;AA16,0.19,0)+IF(AA17&gt;AA18,0.19,0)+IF(AA17&gt;AA19,0.19,0)</f>
        <v>0</v>
      </c>
      <c r="AD17" s="2">
        <f>IF(V17&gt;V18,1,0)+IF(V17&gt;V19,1,0)+IF(V17&gt;V14,1,0)+IF(V17&gt;V15,1,0)+IF(V17&gt;V16,1,0)</f>
        <v>0</v>
      </c>
      <c r="AE17" s="2">
        <f t="shared" si="12"/>
        <v>0.185</v>
      </c>
      <c r="AG17" s="3" t="str">
        <f t="shared" si="0"/>
        <v/>
      </c>
      <c r="AH17" s="3" t="str">
        <f t="shared" si="1"/>
        <v/>
      </c>
      <c r="AI17" s="3" t="str">
        <f t="shared" si="2"/>
        <v/>
      </c>
      <c r="AJ17" s="3" t="str">
        <f t="shared" si="3"/>
        <v/>
      </c>
      <c r="AL17" s="3" t="str">
        <f t="shared" si="4"/>
        <v/>
      </c>
      <c r="AM17" s="3" t="str">
        <f t="shared" si="5"/>
        <v/>
      </c>
    </row>
    <row r="18" spans="1:39" x14ac:dyDescent="0.25">
      <c r="A18" s="3">
        <v>15</v>
      </c>
      <c r="B18" s="9">
        <v>41287</v>
      </c>
      <c r="C18" s="8">
        <v>0.8125</v>
      </c>
      <c r="D18" s="11" t="s">
        <v>43</v>
      </c>
      <c r="E18" s="7" t="s">
        <v>44</v>
      </c>
      <c r="F18" s="4" t="s">
        <v>16</v>
      </c>
      <c r="G18" s="7" t="str">
        <f>IF('Светско Ракомет 2013'!G19="","",'Светско Ракомет 2013'!G19)</f>
        <v/>
      </c>
      <c r="H18" s="7" t="str">
        <f>IF('Светско Ракомет 2013'!H19="","",'Светско Ракомет 2013'!H19)</f>
        <v/>
      </c>
      <c r="I18" s="4" t="s">
        <v>2</v>
      </c>
      <c r="K18" s="7">
        <v>5</v>
      </c>
      <c r="L18" s="4" t="str">
        <f>VLOOKUP(2,ГрупаА,2,FALSE)</f>
        <v>Црна Гора</v>
      </c>
      <c r="M18" s="5">
        <f>VLOOKUP(2,ГрупаА,3,FALSE)</f>
        <v>0</v>
      </c>
      <c r="N18" s="5">
        <f>VLOOKUP(2,ГрупаА,4,FALSE)</f>
        <v>0</v>
      </c>
      <c r="O18" s="5">
        <f>VLOOKUP(2,ГрупаА,5,FALSE)</f>
        <v>0</v>
      </c>
      <c r="P18" s="5">
        <f>VLOOKUP(2,ГрупаА,6,FALSE)</f>
        <v>0</v>
      </c>
      <c r="Q18" s="5">
        <f>VLOOKUP(2,ГрупаА,7,FALSE)</f>
        <v>0</v>
      </c>
      <c r="R18" s="5">
        <f>VLOOKUP(2,ГрупаА,8,FALSE)</f>
        <v>0</v>
      </c>
      <c r="T18" s="7">
        <f>IF(AE18&gt;AE19,1,0)+IF(AE18&gt;AE14,1,0)+IF(AE18&gt;AE15,1,0)+IF(AE18&gt;AE16,1,0)+IF(AE18&gt;AE17,1,0)+1</f>
        <v>2</v>
      </c>
      <c r="U18" s="4" t="s">
        <v>16</v>
      </c>
      <c r="V18" s="5">
        <f t="shared" si="6"/>
        <v>0</v>
      </c>
      <c r="W18" s="5">
        <f t="shared" si="7"/>
        <v>0</v>
      </c>
      <c r="X18" s="5">
        <f t="shared" si="8"/>
        <v>0</v>
      </c>
      <c r="Y18" s="5">
        <f t="shared" si="9"/>
        <v>0</v>
      </c>
      <c r="Z18" s="5">
        <f t="shared" si="10"/>
        <v>0</v>
      </c>
      <c r="AA18" s="5">
        <f t="shared" si="11"/>
        <v>0</v>
      </c>
      <c r="AB18" s="2">
        <v>3.6999999999999998E-2</v>
      </c>
      <c r="AC18" s="2">
        <f>IF(AA18&gt;AA14,0.19,0)+IF(AA18&gt;AA15,0.19,0)+IF(AA18&gt;AA16,0.19,0)+IF(AA18&gt;AA17,0.19,0)+IF(AA18&gt;AA19,0.19,0)</f>
        <v>0</v>
      </c>
      <c r="AD18" s="2">
        <f>IF(V18&gt;V19,1,0)+IF(V18&gt;V14,1,0)+IF(V18&gt;V15,1,0)+IF(V18&gt;V16,1,0)+IF(V18&gt;V17,1,0)</f>
        <v>0</v>
      </c>
      <c r="AE18" s="2">
        <f t="shared" si="12"/>
        <v>3.6999999999999998E-2</v>
      </c>
      <c r="AG18" s="3" t="str">
        <f t="shared" si="0"/>
        <v/>
      </c>
      <c r="AH18" s="3" t="str">
        <f t="shared" si="1"/>
        <v/>
      </c>
      <c r="AI18" s="3" t="str">
        <f t="shared" si="2"/>
        <v/>
      </c>
      <c r="AJ18" s="3" t="str">
        <f t="shared" si="3"/>
        <v/>
      </c>
      <c r="AL18" s="3" t="str">
        <f t="shared" si="4"/>
        <v/>
      </c>
      <c r="AM18" s="3" t="str">
        <f t="shared" si="5"/>
        <v/>
      </c>
    </row>
    <row r="19" spans="1:39" x14ac:dyDescent="0.25">
      <c r="A19" s="3">
        <v>16</v>
      </c>
      <c r="B19" s="9">
        <v>41287</v>
      </c>
      <c r="C19" s="8">
        <v>0.65625</v>
      </c>
      <c r="D19" s="11" t="s">
        <v>45</v>
      </c>
      <c r="E19" s="7" t="s">
        <v>8</v>
      </c>
      <c r="F19" s="4" t="s">
        <v>24</v>
      </c>
      <c r="G19" s="7" t="str">
        <f>IF('Светско Ракомет 2013'!G20="","",'Светско Ракомет 2013'!G20)</f>
        <v/>
      </c>
      <c r="H19" s="7" t="str">
        <f>IF('Светско Ракомет 2013'!H20="","",'Светско Ракомет 2013'!H20)</f>
        <v/>
      </c>
      <c r="I19" s="4" t="s">
        <v>25</v>
      </c>
      <c r="K19" s="7">
        <v>6</v>
      </c>
      <c r="L19" s="4" t="str">
        <f>VLOOKUP(1,ГрупаА,2,FALSE)</f>
        <v>Бразил</v>
      </c>
      <c r="M19" s="5">
        <f>VLOOKUP(1,ГрупаА,3,FALSE)</f>
        <v>0</v>
      </c>
      <c r="N19" s="5">
        <f>VLOOKUP(1,ГрупаА,4,FALSE)</f>
        <v>0</v>
      </c>
      <c r="O19" s="5">
        <f>VLOOKUP(1,ГрупаА,5,FALSE)</f>
        <v>0</v>
      </c>
      <c r="P19" s="5">
        <f>VLOOKUP(1,ГрупаА,6,FALSE)</f>
        <v>0</v>
      </c>
      <c r="Q19" s="5">
        <f>VLOOKUP(1,ГрупаА,7,FALSE)</f>
        <v>0</v>
      </c>
      <c r="R19" s="5">
        <f>VLOOKUP(1,ГрупаА,8,FALSE)</f>
        <v>0</v>
      </c>
      <c r="T19" s="7">
        <f>IF(AE19&gt;AE14,1,0)+IF(AE19&gt;AE15,1,0)+IF(AE19&gt;AE16,1,0)+IF(AE19&gt;AE17,1,0)+IF(AE19&gt;AE18,1,0)+1</f>
        <v>3</v>
      </c>
      <c r="U19" s="4" t="s">
        <v>17</v>
      </c>
      <c r="V19" s="5">
        <f t="shared" si="6"/>
        <v>0</v>
      </c>
      <c r="W19" s="5">
        <f t="shared" si="7"/>
        <v>0</v>
      </c>
      <c r="X19" s="5">
        <f t="shared" si="8"/>
        <v>0</v>
      </c>
      <c r="Y19" s="5">
        <f t="shared" si="9"/>
        <v>0</v>
      </c>
      <c r="Z19" s="5">
        <f t="shared" si="10"/>
        <v>0</v>
      </c>
      <c r="AA19" s="5">
        <f t="shared" si="11"/>
        <v>0</v>
      </c>
      <c r="AB19" s="2">
        <v>7.3999999999999996E-2</v>
      </c>
      <c r="AC19" s="2">
        <f>IF(AA19&gt;AA15,0.19,0)+IF(AA19&gt;AA16,0.19,0)+IF(AA19&gt;AA17,0.19,0)+IF(AA19&gt;AA18,0.19,0)+IF(AA19&gt;AA14,0.19,0)</f>
        <v>0</v>
      </c>
      <c r="AD19" s="2">
        <f>IF(V19&gt;V14,1,0)+IF(V19&gt;V15,1,0)+IF(V19&gt;V16,1,0)+IF(V19&gt;V17,1,0)+IF(V19&gt;V18,1,0)</f>
        <v>0</v>
      </c>
      <c r="AE19" s="2">
        <f t="shared" si="12"/>
        <v>7.3999999999999996E-2</v>
      </c>
      <c r="AG19" s="3" t="str">
        <f t="shared" si="0"/>
        <v/>
      </c>
      <c r="AH19" s="3" t="str">
        <f t="shared" si="1"/>
        <v/>
      </c>
      <c r="AI19" s="3" t="str">
        <f t="shared" si="2"/>
        <v/>
      </c>
      <c r="AJ19" s="3" t="str">
        <f t="shared" si="3"/>
        <v/>
      </c>
      <c r="AL19" s="3" t="str">
        <f t="shared" si="4"/>
        <v/>
      </c>
      <c r="AM19" s="3" t="str">
        <f t="shared" si="5"/>
        <v/>
      </c>
    </row>
    <row r="20" spans="1:39" x14ac:dyDescent="0.25">
      <c r="A20" s="19">
        <v>17</v>
      </c>
      <c r="B20" s="20">
        <v>41287</v>
      </c>
      <c r="C20" s="21">
        <v>0.75</v>
      </c>
      <c r="D20" s="22" t="s">
        <v>45</v>
      </c>
      <c r="E20" s="23" t="s">
        <v>8</v>
      </c>
      <c r="F20" s="24" t="s">
        <v>27</v>
      </c>
      <c r="G20" s="7" t="str">
        <f>IF('Светско Ракомет 2013'!G21="","",'Светско Ракомет 2013'!G21)</f>
        <v/>
      </c>
      <c r="H20" s="7" t="str">
        <f>IF('Светско Ракомет 2013'!H21="","",'Светско Ракомет 2013'!H21)</f>
        <v/>
      </c>
      <c r="I20" s="24" t="s">
        <v>26</v>
      </c>
      <c r="U20" s="1"/>
      <c r="V20" s="2"/>
      <c r="W20" s="2">
        <f>SUM(W14:W19)</f>
        <v>0</v>
      </c>
      <c r="X20" s="2"/>
      <c r="Y20" s="2"/>
      <c r="Z20" s="2"/>
      <c r="AC20" s="2"/>
      <c r="AD20" s="2"/>
      <c r="AE20" s="2"/>
      <c r="AG20" s="3" t="str">
        <f t="shared" si="0"/>
        <v/>
      </c>
      <c r="AH20" s="3" t="str">
        <f t="shared" si="1"/>
        <v/>
      </c>
      <c r="AI20" s="3" t="str">
        <f t="shared" si="2"/>
        <v/>
      </c>
      <c r="AJ20" s="3" t="str">
        <f t="shared" si="3"/>
        <v/>
      </c>
      <c r="AL20" s="3" t="str">
        <f t="shared" si="4"/>
        <v/>
      </c>
      <c r="AM20" s="3" t="str">
        <f t="shared" si="5"/>
        <v/>
      </c>
    </row>
    <row r="21" spans="1:39" x14ac:dyDescent="0.25">
      <c r="A21" s="3">
        <v>18</v>
      </c>
      <c r="B21" s="9">
        <v>41287</v>
      </c>
      <c r="C21" s="8">
        <v>0.84375</v>
      </c>
      <c r="D21" s="11" t="s">
        <v>45</v>
      </c>
      <c r="E21" s="7" t="s">
        <v>8</v>
      </c>
      <c r="F21" s="4" t="s">
        <v>5</v>
      </c>
      <c r="G21" s="7" t="str">
        <f>IF('Светско Ракомет 2013'!G22="","",'Светско Ракомет 2013'!G22)</f>
        <v/>
      </c>
      <c r="H21" s="7" t="str">
        <f>IF('Светско Ракомет 2013'!H22="","",'Светско Ракомет 2013'!H22)</f>
        <v/>
      </c>
      <c r="I21" s="4" t="s">
        <v>1</v>
      </c>
      <c r="AC21" s="2"/>
      <c r="AD21" s="2"/>
      <c r="AE21" s="2"/>
      <c r="AG21" s="3" t="str">
        <f t="shared" si="0"/>
        <v/>
      </c>
      <c r="AH21" s="3" t="str">
        <f t="shared" si="1"/>
        <v/>
      </c>
      <c r="AI21" s="3" t="str">
        <f t="shared" si="2"/>
        <v/>
      </c>
      <c r="AJ21" s="3" t="str">
        <f t="shared" si="3"/>
        <v/>
      </c>
      <c r="AL21" s="3" t="str">
        <f t="shared" si="4"/>
        <v/>
      </c>
      <c r="AM21" s="3" t="str">
        <f t="shared" si="5"/>
        <v/>
      </c>
    </row>
    <row r="22" spans="1:39" ht="18.75" x14ac:dyDescent="0.25">
      <c r="A22" s="3">
        <v>19</v>
      </c>
      <c r="B22" s="9">
        <v>41288</v>
      </c>
      <c r="C22" s="8">
        <v>0.65625</v>
      </c>
      <c r="D22" s="11" t="s">
        <v>46</v>
      </c>
      <c r="E22" s="7" t="s">
        <v>47</v>
      </c>
      <c r="F22" s="4" t="s">
        <v>30</v>
      </c>
      <c r="G22" s="7" t="str">
        <f>IF('Светско Ракомет 2013'!G23="","",'Светско Ракомет 2013'!G23)</f>
        <v/>
      </c>
      <c r="H22" s="7" t="str">
        <f>IF('Светско Ракомет 2013'!H23="","",'Светско Ракомет 2013'!H23)</f>
        <v/>
      </c>
      <c r="I22" s="4" t="s">
        <v>31</v>
      </c>
      <c r="K22" s="52" t="s">
        <v>11</v>
      </c>
      <c r="L22" s="52"/>
      <c r="M22" s="52"/>
      <c r="N22" s="52"/>
      <c r="O22" s="52"/>
      <c r="P22" s="52"/>
      <c r="Q22" s="52"/>
      <c r="R22" s="52"/>
      <c r="T22" s="53" t="s">
        <v>11</v>
      </c>
      <c r="U22" s="53"/>
      <c r="V22" s="53"/>
      <c r="W22" s="53"/>
      <c r="X22" s="53"/>
      <c r="Y22" s="53"/>
      <c r="Z22" s="53"/>
      <c r="AA22" s="53"/>
      <c r="AB22" s="15"/>
      <c r="AC22" s="2"/>
      <c r="AD22" s="2"/>
      <c r="AE22" s="2"/>
      <c r="AG22" s="3" t="str">
        <f t="shared" si="0"/>
        <v/>
      </c>
      <c r="AH22" s="3" t="str">
        <f t="shared" si="1"/>
        <v/>
      </c>
      <c r="AI22" s="3" t="str">
        <f t="shared" si="2"/>
        <v/>
      </c>
      <c r="AJ22" s="3" t="str">
        <f t="shared" si="3"/>
        <v/>
      </c>
      <c r="AL22" s="3" t="str">
        <f t="shared" si="4"/>
        <v/>
      </c>
      <c r="AM22" s="3" t="str">
        <f t="shared" si="5"/>
        <v/>
      </c>
    </row>
    <row r="23" spans="1:39" x14ac:dyDescent="0.25">
      <c r="A23" s="3">
        <v>20</v>
      </c>
      <c r="B23" s="9">
        <v>41288</v>
      </c>
      <c r="C23" s="8">
        <v>0.75</v>
      </c>
      <c r="D23" s="11" t="s">
        <v>46</v>
      </c>
      <c r="E23" s="7" t="s">
        <v>47</v>
      </c>
      <c r="F23" s="4" t="s">
        <v>29</v>
      </c>
      <c r="G23" s="7" t="str">
        <f>IF('Светско Ракомет 2013'!G24="","",'Светско Ракомет 2013'!G24)</f>
        <v/>
      </c>
      <c r="H23" s="7" t="str">
        <f>IF('Светско Ракомет 2013'!H24="","",'Светско Ракомет 2013'!H24)</f>
        <v/>
      </c>
      <c r="I23" s="4" t="s">
        <v>32</v>
      </c>
      <c r="K23" s="18" t="s">
        <v>23</v>
      </c>
      <c r="L23" s="18" t="s">
        <v>18</v>
      </c>
      <c r="M23" s="18" t="s">
        <v>19</v>
      </c>
      <c r="N23" s="18" t="s">
        <v>54</v>
      </c>
      <c r="O23" s="18" t="s">
        <v>20</v>
      </c>
      <c r="P23" s="18" t="s">
        <v>21</v>
      </c>
      <c r="Q23" s="18" t="s">
        <v>22</v>
      </c>
      <c r="R23" s="18" t="s">
        <v>53</v>
      </c>
      <c r="T23" s="7" t="s">
        <v>23</v>
      </c>
      <c r="U23" s="3" t="s">
        <v>18</v>
      </c>
      <c r="V23" s="5" t="s">
        <v>19</v>
      </c>
      <c r="W23" s="5" t="s">
        <v>54</v>
      </c>
      <c r="X23" s="5" t="s">
        <v>20</v>
      </c>
      <c r="Y23" s="5" t="s">
        <v>21</v>
      </c>
      <c r="Z23" s="5" t="s">
        <v>22</v>
      </c>
      <c r="AA23" s="5" t="s">
        <v>53</v>
      </c>
      <c r="AB23" s="2" t="s">
        <v>58</v>
      </c>
      <c r="AC23" s="2" t="s">
        <v>56</v>
      </c>
      <c r="AD23" s="2" t="s">
        <v>57</v>
      </c>
      <c r="AE23" s="2" t="s">
        <v>59</v>
      </c>
      <c r="AG23" s="3" t="str">
        <f t="shared" si="0"/>
        <v/>
      </c>
      <c r="AH23" s="3" t="str">
        <f t="shared" si="1"/>
        <v/>
      </c>
      <c r="AI23" s="3" t="str">
        <f t="shared" si="2"/>
        <v/>
      </c>
      <c r="AJ23" s="3" t="str">
        <f t="shared" si="3"/>
        <v/>
      </c>
      <c r="AL23" s="3" t="str">
        <f t="shared" si="4"/>
        <v/>
      </c>
      <c r="AM23" s="3" t="str">
        <f t="shared" si="5"/>
        <v/>
      </c>
    </row>
    <row r="24" spans="1:39" x14ac:dyDescent="0.25">
      <c r="A24" s="3">
        <v>21</v>
      </c>
      <c r="B24" s="9">
        <v>41288</v>
      </c>
      <c r="C24" s="8">
        <v>0.84375</v>
      </c>
      <c r="D24" s="11" t="s">
        <v>46</v>
      </c>
      <c r="E24" s="7" t="s">
        <v>47</v>
      </c>
      <c r="F24" s="4" t="s">
        <v>28</v>
      </c>
      <c r="G24" s="7" t="str">
        <f>IF('Светско Ракомет 2013'!G25="","",'Светско Ракомет 2013'!G25)</f>
        <v/>
      </c>
      <c r="H24" s="7" t="str">
        <f>IF('Светско Ракомет 2013'!H25="","",'Светско Ракомет 2013'!H25)</f>
        <v/>
      </c>
      <c r="I24" s="4" t="s">
        <v>4</v>
      </c>
      <c r="K24" s="7">
        <v>1</v>
      </c>
      <c r="L24" s="4" t="str">
        <f>VLOOKUP(6,ГрупаБ,2,FALSE)</f>
        <v>Данска</v>
      </c>
      <c r="M24" s="5">
        <f>VLOOKUP(6,ГрупаБ,3,FALSE)</f>
        <v>0</v>
      </c>
      <c r="N24" s="5">
        <f>VLOOKUP(6,ГрупаБ,4,FALSE)</f>
        <v>0</v>
      </c>
      <c r="O24" s="5">
        <f>VLOOKUP(6,ГрупаБ,5,FALSE)</f>
        <v>0</v>
      </c>
      <c r="P24" s="5">
        <f>VLOOKUP(6,ГрупаБ,6,FALSE)</f>
        <v>0</v>
      </c>
      <c r="Q24" s="5">
        <f>VLOOKUP(6,ГрупаБ,7,FALSE)</f>
        <v>0</v>
      </c>
      <c r="R24" s="5">
        <f>VLOOKUP(6,ГрупаБ,8,FALSE)</f>
        <v>0</v>
      </c>
      <c r="T24" s="7">
        <f>IF(AE24&gt;AE25,1,0)+IF(AE24&gt;AE26,1,0)+IF(AE24&gt;AE27,1,0)+IF(AE24&gt;AE28,1,0)+IF(AE24&gt;AE29,1,0)+1</f>
        <v>1</v>
      </c>
      <c r="U24" s="4" t="s">
        <v>24</v>
      </c>
      <c r="V24" s="5">
        <f t="shared" ref="V24:V29" si="13">X24*2+Y24*1</f>
        <v>0</v>
      </c>
      <c r="W24" s="5">
        <f t="shared" ref="W24:W29" si="14">COUNTIF(Табела_играни_мечеви,U24)</f>
        <v>0</v>
      </c>
      <c r="X24" s="5">
        <f t="shared" ref="X24:X29" si="15">COUNTIF(Победник,U24)</f>
        <v>0</v>
      </c>
      <c r="Y24" s="5">
        <f t="shared" ref="Y24:Y29" si="16">COUNTIF(Нерешени,U24)</f>
        <v>0</v>
      </c>
      <c r="Z24" s="5">
        <f t="shared" ref="Z24:Z29" si="17">COUNTIF(Губитник,U24)</f>
        <v>0</v>
      </c>
      <c r="AA24" s="5">
        <f t="shared" ref="AA24:AA29" si="18">SUMIF(Домакини,U24,Гол_разл._дом.)+SUMIF(Гости,U24,Гол_разл._гос)</f>
        <v>0</v>
      </c>
      <c r="AB24" s="2">
        <v>0</v>
      </c>
      <c r="AC24" s="2">
        <f>IF(AA24&gt;AA28,0.19,0)+IF(AA24&gt;AA27,0.19,0)+IF(AA24&gt;AA26,0.19,0)+IF(AA24&gt;AA25,0.19,0)+IF(AA24&gt;AA29,0.19,0)</f>
        <v>0</v>
      </c>
      <c r="AD24" s="2">
        <f>IF(V24&gt;V25,1,0)+IF(V24&gt;V26,1,0)+IF(V24&gt;V27,1,0)+IF(V24&gt;V28,1,0)+IF(V24&gt;V29,1,0)</f>
        <v>0</v>
      </c>
      <c r="AE24" s="2">
        <f t="shared" ref="AE24:AE29" si="19">AD24+AC24+AB24</f>
        <v>0</v>
      </c>
      <c r="AG24" s="3" t="str">
        <f t="shared" si="0"/>
        <v/>
      </c>
      <c r="AH24" s="3" t="str">
        <f t="shared" si="1"/>
        <v/>
      </c>
      <c r="AI24" s="3" t="str">
        <f t="shared" si="2"/>
        <v/>
      </c>
      <c r="AJ24" s="3" t="str">
        <f t="shared" si="3"/>
        <v/>
      </c>
      <c r="AL24" s="3" t="str">
        <f t="shared" si="4"/>
        <v/>
      </c>
      <c r="AM24" s="3" t="str">
        <f t="shared" si="5"/>
        <v/>
      </c>
    </row>
    <row r="25" spans="1:39" x14ac:dyDescent="0.25">
      <c r="A25" s="3">
        <v>22</v>
      </c>
      <c r="B25" s="9">
        <v>41288</v>
      </c>
      <c r="C25" s="8">
        <v>0.69791666666666663</v>
      </c>
      <c r="D25" s="11" t="s">
        <v>48</v>
      </c>
      <c r="E25" s="7" t="s">
        <v>7</v>
      </c>
      <c r="F25" s="4" t="s">
        <v>33</v>
      </c>
      <c r="G25" s="7" t="str">
        <f>IF('Светско Ракомет 2013'!G26="","",'Светско Ракомет 2013'!G26)</f>
        <v/>
      </c>
      <c r="H25" s="7" t="str">
        <f>IF('Светско Ракомет 2013'!H26="","",'Светско Ракомет 2013'!H26)</f>
        <v/>
      </c>
      <c r="I25" s="4" t="s">
        <v>0</v>
      </c>
      <c r="K25" s="7">
        <v>2</v>
      </c>
      <c r="L25" s="4" t="str">
        <f>VLOOKUP(5,ГрупаБ,2,FALSE)</f>
        <v>Македонија</v>
      </c>
      <c r="M25" s="5">
        <f>VLOOKUP(5,ГрупаБ,3,FALSE)</f>
        <v>0</v>
      </c>
      <c r="N25" s="5">
        <f>VLOOKUP(5,ГрупаБ,4,FALSE)</f>
        <v>0</v>
      </c>
      <c r="O25" s="5">
        <f>VLOOKUP(5,ГрупаБ,5,FALSE)</f>
        <v>0</v>
      </c>
      <c r="P25" s="5">
        <f>VLOOKUP(5,ГрупаБ,6,FALSE)</f>
        <v>0</v>
      </c>
      <c r="Q25" s="5">
        <f>VLOOKUP(5,ГрупаБ,7,FALSE)</f>
        <v>0</v>
      </c>
      <c r="R25" s="5">
        <f>VLOOKUP(5,ГрупаБ,8,FALSE)</f>
        <v>0</v>
      </c>
      <c r="T25" s="7">
        <f>IF(AE25&gt;AE26,1,0)+IF(AE25&gt;AE27,1,0)+IF(AE25&gt;AE28,1,0)+IF(AE25&gt;AE29,1,0)+IF(AE25&gt;AE24,1,0)+1</f>
        <v>6</v>
      </c>
      <c r="U25" s="4" t="s">
        <v>1</v>
      </c>
      <c r="V25" s="5">
        <f t="shared" si="13"/>
        <v>0</v>
      </c>
      <c r="W25" s="5">
        <f t="shared" si="14"/>
        <v>0</v>
      </c>
      <c r="X25" s="5">
        <f t="shared" si="15"/>
        <v>0</v>
      </c>
      <c r="Y25" s="5">
        <f t="shared" si="16"/>
        <v>0</v>
      </c>
      <c r="Z25" s="5">
        <f t="shared" si="17"/>
        <v>0</v>
      </c>
      <c r="AA25" s="5">
        <f t="shared" si="18"/>
        <v>0</v>
      </c>
      <c r="AB25" s="2">
        <v>0.185</v>
      </c>
      <c r="AC25" s="2">
        <f>IF(AA25&gt;AA29,0.19,0)+IF(AA25&gt;AA28,0.19,0)+IF(AA25&gt;AA27,0.19,0)+IF(AA25&gt;AA26,0.19,0)+IF(AA25&gt;AA24,0.19,0)</f>
        <v>0</v>
      </c>
      <c r="AD25" s="2">
        <f>IF(V25&gt;V26,1,0)+IF(V25&gt;V27,1,0)+IF(V25&gt;V28,1,0)+IF(V25&gt;V29,1,0)+IF(V25&gt;V24,1,0)</f>
        <v>0</v>
      </c>
      <c r="AE25" s="2">
        <f t="shared" si="19"/>
        <v>0.185</v>
      </c>
      <c r="AG25" s="3" t="str">
        <f t="shared" si="0"/>
        <v/>
      </c>
      <c r="AH25" s="3" t="str">
        <f t="shared" si="1"/>
        <v/>
      </c>
      <c r="AI25" s="3" t="str">
        <f t="shared" si="2"/>
        <v/>
      </c>
      <c r="AJ25" s="3" t="str">
        <f t="shared" si="3"/>
        <v/>
      </c>
      <c r="AL25" s="3" t="str">
        <f t="shared" si="4"/>
        <v/>
      </c>
      <c r="AM25" s="3" t="str">
        <f t="shared" si="5"/>
        <v/>
      </c>
    </row>
    <row r="26" spans="1:39" x14ac:dyDescent="0.25">
      <c r="A26" s="3">
        <v>23</v>
      </c>
      <c r="B26" s="9">
        <v>41288</v>
      </c>
      <c r="C26" s="8">
        <v>0.79166666666666663</v>
      </c>
      <c r="D26" s="11" t="s">
        <v>48</v>
      </c>
      <c r="E26" s="7" t="s">
        <v>7</v>
      </c>
      <c r="F26" s="4" t="s">
        <v>35</v>
      </c>
      <c r="G26" s="7" t="str">
        <f>IF('Светско Ракомет 2013'!G27="","",'Светско Ракомет 2013'!G27)</f>
        <v/>
      </c>
      <c r="H26" s="7" t="str">
        <f>IF('Светско Ракомет 2013'!H27="","",'Светско Ракомет 2013'!H27)</f>
        <v/>
      </c>
      <c r="I26" s="4" t="s">
        <v>6</v>
      </c>
      <c r="K26" s="7">
        <v>3</v>
      </c>
      <c r="L26" s="4" t="str">
        <f>VLOOKUP(4,ГрупаБ,2,FALSE)</f>
        <v>Исланд</v>
      </c>
      <c r="M26" s="5">
        <f>VLOOKUP(4,ГрупаБ,3,FALSE)</f>
        <v>0</v>
      </c>
      <c r="N26" s="5">
        <f>VLOOKUP(4,ГрупаБ,4,FALSE)</f>
        <v>0</v>
      </c>
      <c r="O26" s="5">
        <f>VLOOKUP(4,ГрупаБ,5,FALSE)</f>
        <v>0</v>
      </c>
      <c r="P26" s="5">
        <f>VLOOKUP(4,ГрупаБ,6,FALSE)</f>
        <v>0</v>
      </c>
      <c r="Q26" s="5">
        <f>VLOOKUP(4,ГрупаБ,7,FALSE)</f>
        <v>0</v>
      </c>
      <c r="R26" s="5">
        <f>VLOOKUP(4,ГрупаБ,8,FALSE)</f>
        <v>0</v>
      </c>
      <c r="T26" s="7">
        <f>IF(AE26&gt;AE27,1,0)+IF(AE26&gt;AE28,1,0)+IF(AE26&gt;AE29,1,0)+IF(AE26&gt;AE24,1,0)+IF(AE26&gt;AE25,1,0)+1</f>
        <v>4</v>
      </c>
      <c r="U26" s="4" t="s">
        <v>25</v>
      </c>
      <c r="V26" s="5">
        <f t="shared" si="13"/>
        <v>0</v>
      </c>
      <c r="W26" s="5">
        <f t="shared" si="14"/>
        <v>0</v>
      </c>
      <c r="X26" s="5">
        <f t="shared" si="15"/>
        <v>0</v>
      </c>
      <c r="Y26" s="5">
        <f t="shared" si="16"/>
        <v>0</v>
      </c>
      <c r="Z26" s="5">
        <f t="shared" si="17"/>
        <v>0</v>
      </c>
      <c r="AA26" s="5">
        <f t="shared" si="18"/>
        <v>0</v>
      </c>
      <c r="AB26" s="2">
        <v>0.11099999999999999</v>
      </c>
      <c r="AC26" s="2">
        <f>IF(AA26&gt;AA24,0.19,0)+IF(AA26&gt;AA29,0.19,0)+IF(AA26&gt;AA28,0.19,0)+IF(AA26&gt;AA27,0.19,0)+IF(AA26&gt;AA25,0.19,0)</f>
        <v>0</v>
      </c>
      <c r="AD26" s="2">
        <f>IF(V26&gt;V27,1,0)+IF(V26&gt;V28,1,0)+IF(V26&gt;V29,1,0)+IF(V26&gt;V24,1,0)+IF(V26&gt;V25,1,0)</f>
        <v>0</v>
      </c>
      <c r="AE26" s="2">
        <f t="shared" si="19"/>
        <v>0.11099999999999999</v>
      </c>
      <c r="AG26" s="3" t="str">
        <f t="shared" si="0"/>
        <v/>
      </c>
      <c r="AH26" s="3" t="str">
        <f t="shared" si="1"/>
        <v/>
      </c>
      <c r="AI26" s="3" t="str">
        <f t="shared" si="2"/>
        <v/>
      </c>
      <c r="AJ26" s="3" t="str">
        <f t="shared" si="3"/>
        <v/>
      </c>
      <c r="AL26" s="3" t="str">
        <f t="shared" si="4"/>
        <v/>
      </c>
      <c r="AM26" s="3" t="str">
        <f t="shared" si="5"/>
        <v/>
      </c>
    </row>
    <row r="27" spans="1:39" x14ac:dyDescent="0.25">
      <c r="A27" s="3">
        <v>24</v>
      </c>
      <c r="B27" s="9">
        <v>41288</v>
      </c>
      <c r="C27" s="8">
        <v>0.88541666666666663</v>
      </c>
      <c r="D27" s="11" t="s">
        <v>48</v>
      </c>
      <c r="E27" s="7" t="s">
        <v>7</v>
      </c>
      <c r="F27" s="4" t="s">
        <v>34</v>
      </c>
      <c r="G27" s="7" t="str">
        <f>IF('Светско Ракомет 2013'!G28="","",'Светско Ракомет 2013'!G28)</f>
        <v/>
      </c>
      <c r="H27" s="7" t="str">
        <f>IF('Светско Ракомет 2013'!H28="","",'Светско Ракомет 2013'!H28)</f>
        <v/>
      </c>
      <c r="I27" s="4" t="s">
        <v>36</v>
      </c>
      <c r="K27" s="7">
        <v>4</v>
      </c>
      <c r="L27" s="4" t="str">
        <f>VLOOKUP(3,ГрупаБ,2,FALSE)</f>
        <v>Катар</v>
      </c>
      <c r="M27" s="5">
        <f>VLOOKUP(3,ГрупаБ,3,FALSE)</f>
        <v>0</v>
      </c>
      <c r="N27" s="5">
        <f>VLOOKUP(3,ГрупаБ,4,FALSE)</f>
        <v>0</v>
      </c>
      <c r="O27" s="5">
        <f>VLOOKUP(3,ГрупаБ,5,FALSE)</f>
        <v>0</v>
      </c>
      <c r="P27" s="5">
        <f>VLOOKUP(3,ГрупаБ,6,FALSE)</f>
        <v>0</v>
      </c>
      <c r="Q27" s="5">
        <f>VLOOKUP(3,ГрупаБ,7,FALSE)</f>
        <v>0</v>
      </c>
      <c r="R27" s="5">
        <f>VLOOKUP(3,ГрупаБ,8,FALSE)</f>
        <v>0</v>
      </c>
      <c r="T27" s="7">
        <f>IF(AE27&gt;AE28,1,0)+IF(AE27&gt;AE29,1,0)+IF(AE27&gt;AE24,1,0)+IF(AE27&gt;AE25,1,0)+IF(AE27&gt;AE26,1,0)+1</f>
        <v>5</v>
      </c>
      <c r="U27" s="4" t="s">
        <v>26</v>
      </c>
      <c r="V27" s="5">
        <f t="shared" si="13"/>
        <v>0</v>
      </c>
      <c r="W27" s="5">
        <f t="shared" si="14"/>
        <v>0</v>
      </c>
      <c r="X27" s="5">
        <f t="shared" si="15"/>
        <v>0</v>
      </c>
      <c r="Y27" s="5">
        <f t="shared" si="16"/>
        <v>0</v>
      </c>
      <c r="Z27" s="5">
        <f t="shared" si="17"/>
        <v>0</v>
      </c>
      <c r="AA27" s="5">
        <f t="shared" si="18"/>
        <v>0</v>
      </c>
      <c r="AB27" s="2">
        <v>0.14799999999999999</v>
      </c>
      <c r="AC27" s="2">
        <f>IF(AA27&gt;AA25,0.19,0)+IF(AA27&gt;AA24,0.19,0)+IF(AA27&gt;AA29,0.19,0)+IF(AA27&gt;AA28,0.19,0)+IF(AA27&gt;AA26,0.19,0)</f>
        <v>0</v>
      </c>
      <c r="AD27" s="2">
        <f>IF(V27&gt;V28,1,0)+IF(V27&gt;V29,1,0)+IF(V27&gt;V24,1,0)+IF(V27&gt;V25,1,0)+IF(V27&gt;V26,1,0)</f>
        <v>0</v>
      </c>
      <c r="AE27" s="2">
        <f t="shared" si="19"/>
        <v>0.14799999999999999</v>
      </c>
      <c r="AG27" s="3" t="str">
        <f t="shared" si="0"/>
        <v/>
      </c>
      <c r="AH27" s="3" t="str">
        <f t="shared" si="1"/>
        <v/>
      </c>
      <c r="AI27" s="3" t="str">
        <f t="shared" si="2"/>
        <v/>
      </c>
      <c r="AJ27" s="3" t="str">
        <f t="shared" si="3"/>
        <v/>
      </c>
      <c r="AL27" s="3" t="str">
        <f t="shared" si="4"/>
        <v/>
      </c>
      <c r="AM27" s="3" t="str">
        <f t="shared" si="5"/>
        <v/>
      </c>
    </row>
    <row r="28" spans="1:39" x14ac:dyDescent="0.25">
      <c r="A28" s="3">
        <v>25</v>
      </c>
      <c r="B28" s="9">
        <v>41289</v>
      </c>
      <c r="C28" s="8">
        <v>0.66666666666666663</v>
      </c>
      <c r="D28" s="11" t="s">
        <v>43</v>
      </c>
      <c r="E28" s="7" t="s">
        <v>44</v>
      </c>
      <c r="F28" s="4" t="s">
        <v>17</v>
      </c>
      <c r="G28" s="7" t="str">
        <f>IF('Светско Ракомет 2013'!G29="","",'Светско Ракомет 2013'!G29)</f>
        <v/>
      </c>
      <c r="H28" s="7" t="str">
        <f>IF('Светско Ракомет 2013'!H29="","",'Светско Ракомет 2013'!H29)</f>
        <v/>
      </c>
      <c r="I28" s="4" t="s">
        <v>16</v>
      </c>
      <c r="K28" s="7">
        <v>5</v>
      </c>
      <c r="L28" s="4" t="str">
        <f>VLOOKUP(2,ГрупаБ,2,FALSE)</f>
        <v>Русија</v>
      </c>
      <c r="M28" s="5">
        <f>VLOOKUP(2,ГрупаБ,3,FALSE)</f>
        <v>0</v>
      </c>
      <c r="N28" s="5">
        <f>VLOOKUP(2,ГрупаБ,4,FALSE)</f>
        <v>0</v>
      </c>
      <c r="O28" s="5">
        <f>VLOOKUP(2,ГрупаБ,5,FALSE)</f>
        <v>0</v>
      </c>
      <c r="P28" s="5">
        <f>VLOOKUP(2,ГрупаБ,6,FALSE)</f>
        <v>0</v>
      </c>
      <c r="Q28" s="5">
        <f>VLOOKUP(2,ГрупаБ,7,FALSE)</f>
        <v>0</v>
      </c>
      <c r="R28" s="5">
        <f>VLOOKUP(2,ГрупаБ,8,FALSE)</f>
        <v>0</v>
      </c>
      <c r="T28" s="7">
        <f>IF(AE28&gt;AE29,1,0)+IF(AE28&gt;AE24,1,0)+IF(AE28&gt;AE25,1,0)+IF(AE28&gt;AE26,1,0)+IF(AE28&gt;AE27,1,0)+1</f>
        <v>3</v>
      </c>
      <c r="U28" s="4" t="s">
        <v>27</v>
      </c>
      <c r="V28" s="5">
        <f t="shared" si="13"/>
        <v>0</v>
      </c>
      <c r="W28" s="5">
        <f t="shared" si="14"/>
        <v>0</v>
      </c>
      <c r="X28" s="5">
        <f t="shared" si="15"/>
        <v>0</v>
      </c>
      <c r="Y28" s="5">
        <f t="shared" si="16"/>
        <v>0</v>
      </c>
      <c r="Z28" s="5">
        <f t="shared" si="17"/>
        <v>0</v>
      </c>
      <c r="AA28" s="5">
        <f t="shared" si="18"/>
        <v>0</v>
      </c>
      <c r="AB28" s="2">
        <v>7.3999999999999996E-2</v>
      </c>
      <c r="AC28" s="2">
        <f>IF(AA28&gt;AA26,0.19,0)+IF(AA28&gt;AA25,0.19,0)+IF(AA28&gt;AA24,0.19,0)+IF(AA28&gt;AA29,0.19,0)+IF(AA28&gt;AA27,0.19,0)</f>
        <v>0</v>
      </c>
      <c r="AD28" s="2">
        <f>IF(V28&gt;V29,1,0)+IF(V28&gt;V24,1,0)+IF(V28&gt;V25,1,0)+IF(V28&gt;V26,1,0)+IF(V28&gt;V27,1,0)</f>
        <v>0</v>
      </c>
      <c r="AE28" s="2">
        <f t="shared" si="19"/>
        <v>7.3999999999999996E-2</v>
      </c>
      <c r="AG28" s="3" t="str">
        <f t="shared" si="0"/>
        <v/>
      </c>
      <c r="AH28" s="3" t="str">
        <f t="shared" si="1"/>
        <v/>
      </c>
      <c r="AI28" s="3" t="str">
        <f t="shared" si="2"/>
        <v/>
      </c>
      <c r="AJ28" s="3" t="str">
        <f t="shared" si="3"/>
        <v/>
      </c>
      <c r="AL28" s="3" t="str">
        <f t="shared" si="4"/>
        <v/>
      </c>
      <c r="AM28" s="3" t="str">
        <f t="shared" si="5"/>
        <v/>
      </c>
    </row>
    <row r="29" spans="1:39" x14ac:dyDescent="0.25">
      <c r="A29" s="3">
        <v>26</v>
      </c>
      <c r="B29" s="9">
        <v>41289</v>
      </c>
      <c r="C29" s="8">
        <v>0.77083333333333337</v>
      </c>
      <c r="D29" s="11" t="s">
        <v>43</v>
      </c>
      <c r="E29" s="7" t="s">
        <v>44</v>
      </c>
      <c r="F29" s="3" t="s">
        <v>3</v>
      </c>
      <c r="G29" s="7" t="str">
        <f>IF('Светско Ракомет 2013'!G30="","",'Светско Ракомет 2013'!G30)</f>
        <v/>
      </c>
      <c r="H29" s="7" t="str">
        <f>IF('Светско Ракомет 2013'!H30="","",'Светско Ракомет 2013'!H30)</f>
        <v/>
      </c>
      <c r="I29" s="4" t="s">
        <v>14</v>
      </c>
      <c r="K29" s="7">
        <v>6</v>
      </c>
      <c r="L29" s="4" t="str">
        <f>VLOOKUP(1,ГрупаБ,2,FALSE)</f>
        <v>Чиле</v>
      </c>
      <c r="M29" s="5">
        <f>VLOOKUP(1,ГрупаБ,3,FALSE)</f>
        <v>0</v>
      </c>
      <c r="N29" s="5">
        <f>VLOOKUP(1,ГрупаБ,4,FALSE)</f>
        <v>0</v>
      </c>
      <c r="O29" s="5">
        <f>VLOOKUP(1,ГрупаБ,5,FALSE)</f>
        <v>0</v>
      </c>
      <c r="P29" s="5">
        <f>VLOOKUP(1,ГрупаБ,6,FALSE)</f>
        <v>0</v>
      </c>
      <c r="Q29" s="5">
        <f>VLOOKUP(1,ГрупаБ,7,FALSE)</f>
        <v>0</v>
      </c>
      <c r="R29" s="5">
        <f>VLOOKUP(1,ГрупаБ,8,FALSE)</f>
        <v>0</v>
      </c>
      <c r="T29" s="7">
        <f>IF(AE29&gt;AE24,1,0)+IF(AE29&gt;AE25,1,0)+IF(AE29&gt;AE26,1,0)+IF(AE29&gt;AE27,1,0)+IF(AE29&gt;AE28,1,0)+1</f>
        <v>2</v>
      </c>
      <c r="U29" s="4" t="s">
        <v>5</v>
      </c>
      <c r="V29" s="5">
        <f t="shared" si="13"/>
        <v>0</v>
      </c>
      <c r="W29" s="5">
        <f t="shared" si="14"/>
        <v>0</v>
      </c>
      <c r="X29" s="5">
        <f t="shared" si="15"/>
        <v>0</v>
      </c>
      <c r="Y29" s="5">
        <f t="shared" si="16"/>
        <v>0</v>
      </c>
      <c r="Z29" s="5">
        <f t="shared" si="17"/>
        <v>0</v>
      </c>
      <c r="AA29" s="5">
        <f t="shared" si="18"/>
        <v>0</v>
      </c>
      <c r="AB29" s="2">
        <v>3.6999999999999998E-2</v>
      </c>
      <c r="AC29" s="2">
        <f>IF(AA29&gt;AA27,0.19,0)+IF(AA29&gt;AA26,0.19,0)+IF(AA29&gt;AA25,0.19,0)+IF(AA29&gt;AA24,0.19,0)+IF(AA29&gt;AA28,0.19,0)</f>
        <v>0</v>
      </c>
      <c r="AD29" s="2">
        <f>IF(V29&gt;V24,1,0)+IF(V29&gt;V25,1,0)+IF(V29&gt;V26,1,0)+IF(V29&gt;V27,1,0)+IF(V29&gt;V28,1,0)</f>
        <v>0</v>
      </c>
      <c r="AE29" s="2">
        <f t="shared" si="19"/>
        <v>3.6999999999999998E-2</v>
      </c>
      <c r="AG29" s="3" t="str">
        <f t="shared" si="0"/>
        <v/>
      </c>
      <c r="AH29" s="3" t="str">
        <f t="shared" si="1"/>
        <v/>
      </c>
      <c r="AI29" s="3" t="str">
        <f t="shared" si="2"/>
        <v/>
      </c>
      <c r="AJ29" s="3" t="str">
        <f t="shared" si="3"/>
        <v/>
      </c>
      <c r="AL29" s="3" t="str">
        <f t="shared" si="4"/>
        <v/>
      </c>
      <c r="AM29" s="3" t="str">
        <f t="shared" si="5"/>
        <v/>
      </c>
    </row>
    <row r="30" spans="1:39" x14ac:dyDescent="0.25">
      <c r="A30" s="3">
        <v>27</v>
      </c>
      <c r="B30" s="9">
        <v>41289</v>
      </c>
      <c r="C30" s="8">
        <v>0.86458333333333337</v>
      </c>
      <c r="D30" s="11" t="s">
        <v>43</v>
      </c>
      <c r="E30" s="7" t="s">
        <v>44</v>
      </c>
      <c r="F30" s="4" t="s">
        <v>2</v>
      </c>
      <c r="G30" s="7" t="str">
        <f>IF('Светско Ракомет 2013'!G31="","",'Светско Ракомет 2013'!G31)</f>
        <v/>
      </c>
      <c r="H30" s="7" t="str">
        <f>IF('Светско Ракомет 2013'!H31="","",'Светско Ракомет 2013'!H31)</f>
        <v/>
      </c>
      <c r="I30" s="3" t="s">
        <v>15</v>
      </c>
      <c r="W30" s="17">
        <f>SUM(W24:W29)</f>
        <v>0</v>
      </c>
      <c r="AG30" s="3" t="str">
        <f t="shared" si="0"/>
        <v/>
      </c>
      <c r="AH30" s="3" t="str">
        <f t="shared" si="1"/>
        <v/>
      </c>
      <c r="AI30" s="3" t="str">
        <f t="shared" si="2"/>
        <v/>
      </c>
      <c r="AJ30" s="3" t="str">
        <f t="shared" si="3"/>
        <v/>
      </c>
      <c r="AL30" s="3" t="str">
        <f t="shared" si="4"/>
        <v/>
      </c>
      <c r="AM30" s="3" t="str">
        <f t="shared" si="5"/>
        <v/>
      </c>
    </row>
    <row r="31" spans="1:39" x14ac:dyDescent="0.25">
      <c r="A31" s="3">
        <v>28</v>
      </c>
      <c r="B31" s="9">
        <v>41289</v>
      </c>
      <c r="C31" s="8">
        <v>0.65625</v>
      </c>
      <c r="D31" s="11" t="s">
        <v>45</v>
      </c>
      <c r="E31" s="7" t="s">
        <v>8</v>
      </c>
      <c r="F31" s="4" t="s">
        <v>27</v>
      </c>
      <c r="G31" s="7" t="str">
        <f>IF('Светско Ракомет 2013'!G32="","",'Светско Ракомет 2013'!G32)</f>
        <v/>
      </c>
      <c r="H31" s="7" t="str">
        <f>IF('Светско Ракомет 2013'!H32="","",'Светско Ракомет 2013'!H32)</f>
        <v/>
      </c>
      <c r="I31" s="4" t="s">
        <v>5</v>
      </c>
      <c r="AG31" s="3" t="str">
        <f t="shared" si="0"/>
        <v/>
      </c>
      <c r="AH31" s="3" t="str">
        <f t="shared" si="1"/>
        <v/>
      </c>
      <c r="AI31" s="3" t="str">
        <f t="shared" si="2"/>
        <v/>
      </c>
      <c r="AJ31" s="3" t="str">
        <f t="shared" si="3"/>
        <v/>
      </c>
      <c r="AL31" s="3" t="str">
        <f t="shared" si="4"/>
        <v/>
      </c>
      <c r="AM31" s="3" t="str">
        <f t="shared" si="5"/>
        <v/>
      </c>
    </row>
    <row r="32" spans="1:39" ht="18.75" x14ac:dyDescent="0.25">
      <c r="A32" s="19">
        <v>29</v>
      </c>
      <c r="B32" s="20">
        <v>41289</v>
      </c>
      <c r="C32" s="21">
        <v>0.75</v>
      </c>
      <c r="D32" s="22" t="s">
        <v>45</v>
      </c>
      <c r="E32" s="23" t="s">
        <v>8</v>
      </c>
      <c r="F32" s="24" t="s">
        <v>26</v>
      </c>
      <c r="G32" s="7" t="str">
        <f>IF('Светско Ракомет 2013'!G33="","",'Светско Ракомет 2013'!G33)</f>
        <v/>
      </c>
      <c r="H32" s="7" t="str">
        <f>IF('Светско Ракомет 2013'!H33="","",'Светско Ракомет 2013'!H33)</f>
        <v/>
      </c>
      <c r="I32" s="24" t="s">
        <v>25</v>
      </c>
      <c r="K32" s="52" t="s">
        <v>12</v>
      </c>
      <c r="L32" s="52"/>
      <c r="M32" s="52"/>
      <c r="N32" s="52"/>
      <c r="O32" s="52"/>
      <c r="P32" s="52"/>
      <c r="Q32" s="52"/>
      <c r="R32" s="52"/>
      <c r="T32" s="53" t="s">
        <v>12</v>
      </c>
      <c r="U32" s="53"/>
      <c r="V32" s="53"/>
      <c r="W32" s="53"/>
      <c r="X32" s="53"/>
      <c r="Y32" s="53"/>
      <c r="Z32" s="53"/>
      <c r="AA32" s="53"/>
      <c r="AB32" s="15"/>
      <c r="AC32" s="15"/>
      <c r="AD32" s="15"/>
      <c r="AE32" s="15"/>
      <c r="AG32" s="3" t="str">
        <f t="shared" si="0"/>
        <v/>
      </c>
      <c r="AH32" s="3" t="str">
        <f t="shared" si="1"/>
        <v/>
      </c>
      <c r="AI32" s="3" t="str">
        <f t="shared" si="2"/>
        <v/>
      </c>
      <c r="AJ32" s="3" t="str">
        <f t="shared" si="3"/>
        <v/>
      </c>
      <c r="AL32" s="3" t="str">
        <f t="shared" si="4"/>
        <v/>
      </c>
      <c r="AM32" s="3" t="str">
        <f t="shared" si="5"/>
        <v/>
      </c>
    </row>
    <row r="33" spans="1:39" x14ac:dyDescent="0.25">
      <c r="A33" s="3">
        <v>30</v>
      </c>
      <c r="B33" s="9">
        <v>41289</v>
      </c>
      <c r="C33" s="8">
        <v>0.84375</v>
      </c>
      <c r="D33" s="11" t="s">
        <v>45</v>
      </c>
      <c r="E33" s="7" t="s">
        <v>8</v>
      </c>
      <c r="F33" s="4" t="s">
        <v>1</v>
      </c>
      <c r="G33" s="7" t="str">
        <f>IF('Светско Ракомет 2013'!G34="","",'Светско Ракомет 2013'!G34)</f>
        <v/>
      </c>
      <c r="H33" s="7" t="str">
        <f>IF('Светско Ракомет 2013'!H34="","",'Светско Ракомет 2013'!H34)</f>
        <v/>
      </c>
      <c r="I33" s="4" t="s">
        <v>24</v>
      </c>
      <c r="K33" s="18" t="s">
        <v>23</v>
      </c>
      <c r="L33" s="18" t="s">
        <v>18</v>
      </c>
      <c r="M33" s="18" t="s">
        <v>19</v>
      </c>
      <c r="N33" s="18" t="s">
        <v>54</v>
      </c>
      <c r="O33" s="18" t="s">
        <v>20</v>
      </c>
      <c r="P33" s="18" t="s">
        <v>21</v>
      </c>
      <c r="Q33" s="18" t="s">
        <v>22</v>
      </c>
      <c r="R33" s="18" t="s">
        <v>53</v>
      </c>
      <c r="T33" s="7" t="s">
        <v>23</v>
      </c>
      <c r="U33" s="3" t="s">
        <v>18</v>
      </c>
      <c r="V33" s="5" t="s">
        <v>19</v>
      </c>
      <c r="W33" s="5" t="s">
        <v>54</v>
      </c>
      <c r="X33" s="5" t="s">
        <v>20</v>
      </c>
      <c r="Y33" s="5" t="s">
        <v>21</v>
      </c>
      <c r="Z33" s="5" t="s">
        <v>22</v>
      </c>
      <c r="AA33" s="5" t="s">
        <v>53</v>
      </c>
      <c r="AB33" s="2" t="s">
        <v>58</v>
      </c>
      <c r="AC33" s="2" t="s">
        <v>56</v>
      </c>
      <c r="AD33" s="2" t="s">
        <v>57</v>
      </c>
      <c r="AE33" s="2" t="s">
        <v>59</v>
      </c>
      <c r="AG33" s="3" t="str">
        <f t="shared" si="0"/>
        <v/>
      </c>
      <c r="AH33" s="3" t="str">
        <f t="shared" si="1"/>
        <v/>
      </c>
      <c r="AI33" s="3" t="str">
        <f t="shared" si="2"/>
        <v/>
      </c>
      <c r="AJ33" s="3" t="str">
        <f t="shared" si="3"/>
        <v/>
      </c>
      <c r="AL33" s="3" t="str">
        <f t="shared" si="4"/>
        <v/>
      </c>
      <c r="AM33" s="3" t="str">
        <f t="shared" si="5"/>
        <v/>
      </c>
    </row>
    <row r="34" spans="1:39" x14ac:dyDescent="0.25">
      <c r="A34" s="3">
        <v>31</v>
      </c>
      <c r="B34" s="9">
        <v>41289</v>
      </c>
      <c r="C34" s="8">
        <v>0.65625</v>
      </c>
      <c r="D34" s="11" t="s">
        <v>46</v>
      </c>
      <c r="E34" s="7" t="s">
        <v>47</v>
      </c>
      <c r="F34" s="4" t="s">
        <v>30</v>
      </c>
      <c r="G34" s="7" t="str">
        <f>IF('Светско Ракомет 2013'!G35="","",'Светско Ракомет 2013'!G35)</f>
        <v/>
      </c>
      <c r="H34" s="7" t="str">
        <f>IF('Светско Ракомет 2013'!H35="","",'Светско Ракомет 2013'!H35)</f>
        <v/>
      </c>
      <c r="I34" s="4" t="s">
        <v>29</v>
      </c>
      <c r="K34" s="7">
        <v>1</v>
      </c>
      <c r="L34" s="4" t="str">
        <f>VLOOKUP(6,ГрупаЦ,2,FALSE)</f>
        <v>Србија</v>
      </c>
      <c r="M34" s="5">
        <f>VLOOKUP(6,ГрупаЦ,3,FALSE)</f>
        <v>0</v>
      </c>
      <c r="N34" s="5">
        <f>VLOOKUP(6,ГрупаЦ,4,FALSE)</f>
        <v>0</v>
      </c>
      <c r="O34" s="5">
        <f>VLOOKUP(6,ГрупаЦ,5,FALSE)</f>
        <v>0</v>
      </c>
      <c r="P34" s="5">
        <f>VLOOKUP(6,ГрупаЦ,6,FALSE)</f>
        <v>0</v>
      </c>
      <c r="Q34" s="5">
        <f>VLOOKUP(6,ГрупаЦ,7,FALSE)</f>
        <v>0</v>
      </c>
      <c r="R34" s="5">
        <f>VLOOKUP(6,ГрупаЦ,8,FALSE)</f>
        <v>0</v>
      </c>
      <c r="T34" s="7">
        <f>IF(AE34&gt;AE35,1,0)+IF(AE34&gt;AE36,1,0)+IF(AE34&gt;AE37,1,0)+IF(AE34&gt;AE38,1,0)+IF(AE34&gt;AE39,1,0)+1</f>
        <v>1</v>
      </c>
      <c r="U34" s="4" t="s">
        <v>28</v>
      </c>
      <c r="V34" s="5">
        <f t="shared" ref="V34:V39" si="20">X34*2+Y34*1</f>
        <v>0</v>
      </c>
      <c r="W34" s="5">
        <f t="shared" ref="W34:W39" si="21">COUNTIF(Табела_играни_мечеви,U34)</f>
        <v>0</v>
      </c>
      <c r="X34" s="5">
        <f t="shared" ref="X34:X39" si="22">COUNTIF(Победник,U34)</f>
        <v>0</v>
      </c>
      <c r="Y34" s="5">
        <f t="shared" ref="Y34:Y39" si="23">COUNTIF(Нерешени,U34)</f>
        <v>0</v>
      </c>
      <c r="Z34" s="5">
        <f t="shared" ref="Z34:Z39" si="24">COUNTIF(Губитник,U34)</f>
        <v>0</v>
      </c>
      <c r="AA34" s="5">
        <f t="shared" ref="AA34:AA39" si="25">SUMIF(Домакини,U34,Гол_разл._дом.)+SUMIF(Гости,U34,Гол_разл._гос)</f>
        <v>0</v>
      </c>
      <c r="AB34" s="2">
        <v>0</v>
      </c>
      <c r="AC34" s="2">
        <f>IF(AA34&gt;AA35,0.19,0)+IF(AA34&gt;AA37,0.19,0)+IF(AA34&gt;AA38,0.19,0)+IF(AA34&gt;AA39,0.19,0)+IF(AA34&gt;AA36,0.19,0)</f>
        <v>0</v>
      </c>
      <c r="AD34" s="2">
        <f>IF(V34&gt;V35,1,0)+IF(V34&gt;V36,1,0)+IF(V34&gt;V37,1,0)+IF(V34&gt;V38,1,0)+IF(V34&gt;V39,1,0)</f>
        <v>0</v>
      </c>
      <c r="AE34" s="2">
        <f t="shared" ref="AE34:AE39" si="26">AD34+AC34+AB34</f>
        <v>0</v>
      </c>
      <c r="AG34" s="3" t="str">
        <f t="shared" si="0"/>
        <v/>
      </c>
      <c r="AH34" s="3" t="str">
        <f t="shared" si="1"/>
        <v/>
      </c>
      <c r="AI34" s="3" t="str">
        <f t="shared" si="2"/>
        <v/>
      </c>
      <c r="AJ34" s="3" t="str">
        <f t="shared" si="3"/>
        <v/>
      </c>
      <c r="AL34" s="3" t="str">
        <f t="shared" si="4"/>
        <v/>
      </c>
      <c r="AM34" s="3" t="str">
        <f t="shared" si="5"/>
        <v/>
      </c>
    </row>
    <row r="35" spans="1:39" x14ac:dyDescent="0.25">
      <c r="A35" s="3">
        <v>32</v>
      </c>
      <c r="B35" s="9">
        <v>41289</v>
      </c>
      <c r="C35" s="8">
        <v>0.75</v>
      </c>
      <c r="D35" s="11" t="s">
        <v>46</v>
      </c>
      <c r="E35" s="7" t="s">
        <v>47</v>
      </c>
      <c r="F35" s="4" t="s">
        <v>32</v>
      </c>
      <c r="G35" s="7" t="str">
        <f>IF('Светско Ракомет 2013'!G36="","",'Светско Ракомет 2013'!G36)</f>
        <v/>
      </c>
      <c r="H35" s="7" t="str">
        <f>IF('Светско Ракомет 2013'!H36="","",'Светско Ракомет 2013'!H36)</f>
        <v/>
      </c>
      <c r="I35" s="4" t="s">
        <v>28</v>
      </c>
      <c r="K35" s="7">
        <v>2</v>
      </c>
      <c r="L35" s="4" t="str">
        <f>VLOOKUP(5,ГрупаЦ,2,FALSE)</f>
        <v>Словенија</v>
      </c>
      <c r="M35" s="5">
        <f>VLOOKUP(5,ГрупаЦ,3,FALSE)</f>
        <v>0</v>
      </c>
      <c r="N35" s="5">
        <f>VLOOKUP(5,ГрупаЦ,4,FALSE)</f>
        <v>0</v>
      </c>
      <c r="O35" s="5">
        <f>VLOOKUP(5,ГрупаЦ,5,FALSE)</f>
        <v>0</v>
      </c>
      <c r="P35" s="5">
        <f>VLOOKUP(5,ГрупаЦ,6,FALSE)</f>
        <v>0</v>
      </c>
      <c r="Q35" s="5">
        <f>VLOOKUP(5,ГрупаЦ,7,FALSE)</f>
        <v>0</v>
      </c>
      <c r="R35" s="5">
        <f>VLOOKUP(5,ГрупаЦ,8,FALSE)</f>
        <v>0</v>
      </c>
      <c r="T35" s="7">
        <f>IF(AE35&gt;AE36,1,0)+IF(AE35&gt;AE37,1,0)+IF(AE35&gt;AE38,1,0)+IF(AE35&gt;AE39,1,0)+IF(AE35&gt;AE34,1,0)+1</f>
        <v>2</v>
      </c>
      <c r="U35" s="4" t="s">
        <v>29</v>
      </c>
      <c r="V35" s="5">
        <f t="shared" si="20"/>
        <v>0</v>
      </c>
      <c r="W35" s="5">
        <f t="shared" si="21"/>
        <v>0</v>
      </c>
      <c r="X35" s="5">
        <f t="shared" si="22"/>
        <v>0</v>
      </c>
      <c r="Y35" s="5">
        <f t="shared" si="23"/>
        <v>0</v>
      </c>
      <c r="Z35" s="5">
        <f t="shared" si="24"/>
        <v>0</v>
      </c>
      <c r="AA35" s="5">
        <f t="shared" si="25"/>
        <v>0</v>
      </c>
      <c r="AB35" s="2">
        <v>3.6999999999999998E-2</v>
      </c>
      <c r="AC35" s="2">
        <f>IF(AA35&gt;AA36,0.19,0)+IF(AA35&gt;AA38,0.19,0)+IF(AA35&gt;AA39,0.19,0)+IF(AA35&gt;AA34,0.19,0)+IF(AA35&gt;AA37,0.19,0)</f>
        <v>0</v>
      </c>
      <c r="AD35" s="2">
        <f>IF(V35&gt;V36,1,0)+IF(V35&gt;V37,1,0)+IF(V35&gt;V38,1,0)+IF(V35&gt;V39,1,0)+IF(V35&gt;V34,1,0)</f>
        <v>0</v>
      </c>
      <c r="AE35" s="2">
        <f t="shared" si="26"/>
        <v>3.6999999999999998E-2</v>
      </c>
      <c r="AG35" s="3" t="str">
        <f t="shared" si="0"/>
        <v/>
      </c>
      <c r="AH35" s="3" t="str">
        <f t="shared" si="1"/>
        <v/>
      </c>
      <c r="AI35" s="3" t="str">
        <f t="shared" si="2"/>
        <v/>
      </c>
      <c r="AJ35" s="3" t="str">
        <f t="shared" si="3"/>
        <v/>
      </c>
      <c r="AL35" s="3" t="str">
        <f t="shared" si="4"/>
        <v/>
      </c>
      <c r="AM35" s="3" t="str">
        <f t="shared" si="5"/>
        <v/>
      </c>
    </row>
    <row r="36" spans="1:39" x14ac:dyDescent="0.25">
      <c r="A36" s="3">
        <v>33</v>
      </c>
      <c r="B36" s="9">
        <v>41289</v>
      </c>
      <c r="C36" s="8">
        <v>0.84375</v>
      </c>
      <c r="D36" s="11" t="s">
        <v>46</v>
      </c>
      <c r="E36" s="7" t="s">
        <v>47</v>
      </c>
      <c r="F36" s="4" t="s">
        <v>31</v>
      </c>
      <c r="G36" s="7" t="str">
        <f>IF('Светско Ракомет 2013'!G37="","",'Светско Ракомет 2013'!G37)</f>
        <v/>
      </c>
      <c r="H36" s="7" t="str">
        <f>IF('Светско Ракомет 2013'!H37="","",'Светско Ракомет 2013'!H37)</f>
        <v/>
      </c>
      <c r="I36" s="4" t="s">
        <v>4</v>
      </c>
      <c r="K36" s="7">
        <v>3</v>
      </c>
      <c r="L36" s="4" t="str">
        <f>VLOOKUP(4,ГрупаЦ,2,FALSE)</f>
        <v>Полска</v>
      </c>
      <c r="M36" s="5">
        <f>VLOOKUP(4,ГрупаЦ,3,FALSE)</f>
        <v>0</v>
      </c>
      <c r="N36" s="5">
        <f>VLOOKUP(4,ГрупаЦ,4,FALSE)</f>
        <v>0</v>
      </c>
      <c r="O36" s="5">
        <f>VLOOKUP(4,ГрупаЦ,5,FALSE)</f>
        <v>0</v>
      </c>
      <c r="P36" s="5">
        <f>VLOOKUP(4,ГрупаЦ,6,FALSE)</f>
        <v>0</v>
      </c>
      <c r="Q36" s="5">
        <f>VLOOKUP(4,ГрупаЦ,7,FALSE)</f>
        <v>0</v>
      </c>
      <c r="R36" s="5">
        <f>VLOOKUP(4,ГрупаЦ,8,FALSE)</f>
        <v>0</v>
      </c>
      <c r="T36" s="7">
        <f>IF(AE36&gt;AE37,1,0)+IF(AE36&gt;AE38,1,0)+IF(AE36&gt;AE39,1,0)+IF(AE36&gt;AE34,1,0)+IF(AE36&gt;AE35,1,0)+1</f>
        <v>3</v>
      </c>
      <c r="U36" s="4" t="s">
        <v>30</v>
      </c>
      <c r="V36" s="5">
        <f t="shared" si="20"/>
        <v>0</v>
      </c>
      <c r="W36" s="5">
        <f t="shared" si="21"/>
        <v>0</v>
      </c>
      <c r="X36" s="5">
        <f t="shared" si="22"/>
        <v>0</v>
      </c>
      <c r="Y36" s="5">
        <f t="shared" si="23"/>
        <v>0</v>
      </c>
      <c r="Z36" s="5">
        <f t="shared" si="24"/>
        <v>0</v>
      </c>
      <c r="AA36" s="5">
        <f t="shared" si="25"/>
        <v>0</v>
      </c>
      <c r="AB36" s="2">
        <v>7.3999999999999996E-2</v>
      </c>
      <c r="AC36" s="2">
        <f>IF(AA36&gt;AA37,0.19,0)+IF(AA36&gt;AA39,0.19,0)+IF(AA36&gt;AA34,0.19,0)+IF(AA36&gt;AA35,0.19,0)+IF(AA36&gt;AA38,0.19,0)</f>
        <v>0</v>
      </c>
      <c r="AD36" s="2">
        <f>IF(V36&gt;V37,1,0)+IF(V36&gt;V38,1,0)+IF(V36&gt;V39,1,0)+IF(V36&gt;V34,1,0)+IF(V36&gt;V35,1,0)</f>
        <v>0</v>
      </c>
      <c r="AE36" s="2">
        <f t="shared" si="26"/>
        <v>7.3999999999999996E-2</v>
      </c>
      <c r="AG36" s="3" t="str">
        <f t="shared" ref="AG36:AG63" si="27">IF(G36="","",IF(H36="","",IF(G36&gt;H36,F36,IF(G36&lt;H36,I36,""))))</f>
        <v/>
      </c>
      <c r="AH36" s="3" t="str">
        <f t="shared" ref="AH36:AH63" si="28">IF(G36="","",IF(H36="","",IF(G36=H36,F36,"")))</f>
        <v/>
      </c>
      <c r="AI36" s="3" t="str">
        <f t="shared" ref="AI36:AI63" si="29">IF(G36="","",IF(H36="","",IF(G36=H36,I36,"")))</f>
        <v/>
      </c>
      <c r="AJ36" s="3" t="str">
        <f t="shared" ref="AJ36:AJ63" si="30">IF(G36="","",IF(H36="","",IF(G36&lt;H36,F36,IF(G36&gt;H36,I36,""))))</f>
        <v/>
      </c>
      <c r="AL36" s="3" t="str">
        <f t="shared" ref="AL36:AL63" si="31">IF(G36="","",IF(H36="","",G36-H36 ))</f>
        <v/>
      </c>
      <c r="AM36" s="3" t="str">
        <f t="shared" ref="AM36:AM63" si="32">IF(G36="","",IF(H36="","",H36-G36 ))</f>
        <v/>
      </c>
    </row>
    <row r="37" spans="1:39" x14ac:dyDescent="0.25">
      <c r="A37" s="3">
        <v>34</v>
      </c>
      <c r="B37" s="9">
        <v>41289</v>
      </c>
      <c r="C37" s="8">
        <v>0.69791666666666663</v>
      </c>
      <c r="D37" s="11" t="s">
        <v>48</v>
      </c>
      <c r="E37" s="7" t="s">
        <v>7</v>
      </c>
      <c r="F37" s="4" t="s">
        <v>33</v>
      </c>
      <c r="G37" s="7" t="str">
        <f>IF('Светско Ракомет 2013'!G38="","",'Светско Ракомет 2013'!G38)</f>
        <v/>
      </c>
      <c r="H37" s="7" t="str">
        <f>IF('Светско Ракомет 2013'!H38="","",'Светско Ракомет 2013'!H38)</f>
        <v/>
      </c>
      <c r="I37" s="4" t="s">
        <v>35</v>
      </c>
      <c r="K37" s="7">
        <v>4</v>
      </c>
      <c r="L37" s="4" t="str">
        <f>VLOOKUP(3,ГрупаЦ,2,FALSE)</f>
        <v>Јужна Кореа</v>
      </c>
      <c r="M37" s="5">
        <f>VLOOKUP(3,ГрупаЦ,3,FALSE)</f>
        <v>0</v>
      </c>
      <c r="N37" s="5">
        <f>VLOOKUP(3,ГрупаЦ,4,FALSE)</f>
        <v>0</v>
      </c>
      <c r="O37" s="5">
        <f>VLOOKUP(3,ГрупаЦ,5,FALSE)</f>
        <v>0</v>
      </c>
      <c r="P37" s="5">
        <f>VLOOKUP(3,ГрупаЦ,6,FALSE)</f>
        <v>0</v>
      </c>
      <c r="Q37" s="5">
        <f>VLOOKUP(3,ГрупаЦ,7,FALSE)</f>
        <v>0</v>
      </c>
      <c r="R37" s="5">
        <f>VLOOKUP(3,ГрупаЦ,8,FALSE)</f>
        <v>0</v>
      </c>
      <c r="T37" s="7">
        <f>IF(AE37&gt;AE38,1,0)+IF(AE37&gt;AE39,1,0)+IF(AE37&gt;AE34,1,0)+IF(AE37&gt;AE35,1,0)+IF(AE37&gt;AE36,1,0)+1</f>
        <v>5</v>
      </c>
      <c r="U37" s="4" t="s">
        <v>31</v>
      </c>
      <c r="V37" s="5">
        <f t="shared" si="20"/>
        <v>0</v>
      </c>
      <c r="W37" s="5">
        <f t="shared" si="21"/>
        <v>0</v>
      </c>
      <c r="X37" s="5">
        <f t="shared" si="22"/>
        <v>0</v>
      </c>
      <c r="Y37" s="5">
        <f t="shared" si="23"/>
        <v>0</v>
      </c>
      <c r="Z37" s="5">
        <f t="shared" si="24"/>
        <v>0</v>
      </c>
      <c r="AA37" s="5">
        <f t="shared" si="25"/>
        <v>0</v>
      </c>
      <c r="AB37" s="2">
        <v>0.14799999999999999</v>
      </c>
      <c r="AC37" s="2">
        <f>IF(AA37&gt;AA38,0.19,0)+IF(AA37&gt;AA34,0.19,0)+IF(AA37&gt;AA35,0.19,0)+IF(AA37&gt;AA36,0.19,0)+IF(AA37&gt;AA39,0.19,0)</f>
        <v>0</v>
      </c>
      <c r="AD37" s="2">
        <f>IF(V37&gt;V38,1,0)+IF(V37&gt;V39,1,0)+IF(V37&gt;V34,1,0)+IF(V37&gt;V35,1,0)+IF(V37&gt;V36,1,0)</f>
        <v>0</v>
      </c>
      <c r="AE37" s="2">
        <f t="shared" si="26"/>
        <v>0.14799999999999999</v>
      </c>
      <c r="AG37" s="3" t="str">
        <f t="shared" si="27"/>
        <v/>
      </c>
      <c r="AH37" s="3" t="str">
        <f t="shared" si="28"/>
        <v/>
      </c>
      <c r="AI37" s="3" t="str">
        <f t="shared" si="29"/>
        <v/>
      </c>
      <c r="AJ37" s="3" t="str">
        <f t="shared" si="30"/>
        <v/>
      </c>
      <c r="AL37" s="3" t="str">
        <f t="shared" si="31"/>
        <v/>
      </c>
      <c r="AM37" s="3" t="str">
        <f t="shared" si="32"/>
        <v/>
      </c>
    </row>
    <row r="38" spans="1:39" x14ac:dyDescent="0.25">
      <c r="A38" s="3">
        <v>35</v>
      </c>
      <c r="B38" s="9">
        <v>41289</v>
      </c>
      <c r="C38" s="8">
        <v>0.79166666666666663</v>
      </c>
      <c r="D38" s="11" t="s">
        <v>48</v>
      </c>
      <c r="E38" s="7" t="s">
        <v>7</v>
      </c>
      <c r="F38" s="4" t="s">
        <v>6</v>
      </c>
      <c r="G38" s="7" t="str">
        <f>IF('Светско Ракомет 2013'!G39="","",'Светско Ракомет 2013'!G39)</f>
        <v/>
      </c>
      <c r="H38" s="7" t="str">
        <f>IF('Светско Ракомет 2013'!H39="","",'Светско Ракомет 2013'!H39)</f>
        <v/>
      </c>
      <c r="I38" s="4" t="s">
        <v>34</v>
      </c>
      <c r="K38" s="7">
        <v>5</v>
      </c>
      <c r="L38" s="4" t="str">
        <f>VLOOKUP(2,ГрупаЦ,2,FALSE)</f>
        <v>Белорусија</v>
      </c>
      <c r="M38" s="5">
        <f>VLOOKUP(2,ГрупаЦ,3,FALSE)</f>
        <v>0</v>
      </c>
      <c r="N38" s="5">
        <f>VLOOKUP(2,ГрупаЦ,4,FALSE)</f>
        <v>0</v>
      </c>
      <c r="O38" s="5">
        <f>VLOOKUP(2,ГрупаЦ,5,FALSE)</f>
        <v>0</v>
      </c>
      <c r="P38" s="5">
        <f>VLOOKUP(2,ГрупаЦ,6,FALSE)</f>
        <v>0</v>
      </c>
      <c r="Q38" s="5">
        <f>VLOOKUP(2,ГрупаЦ,7,FALSE)</f>
        <v>0</v>
      </c>
      <c r="R38" s="5">
        <f>VLOOKUP(2,ГрупаЦ,8,FALSE)</f>
        <v>0</v>
      </c>
      <c r="T38" s="7">
        <f>IF(AE38&gt;AE39,1,0)+IF(AE38&gt;AE34,1,0)+IF(AE38&gt;AE35,1,0)+IF(AE38&gt;AE36,1,0)+IF(AE38&gt;AE37,1,0)+1</f>
        <v>4</v>
      </c>
      <c r="U38" s="4" t="s">
        <v>4</v>
      </c>
      <c r="V38" s="5">
        <f t="shared" si="20"/>
        <v>0</v>
      </c>
      <c r="W38" s="5">
        <f t="shared" si="21"/>
        <v>0</v>
      </c>
      <c r="X38" s="5">
        <f t="shared" si="22"/>
        <v>0</v>
      </c>
      <c r="Y38" s="5">
        <f t="shared" si="23"/>
        <v>0</v>
      </c>
      <c r="Z38" s="5">
        <f t="shared" si="24"/>
        <v>0</v>
      </c>
      <c r="AA38" s="5">
        <f t="shared" si="25"/>
        <v>0</v>
      </c>
      <c r="AB38" s="2">
        <v>0.11099999999999999</v>
      </c>
      <c r="AC38" s="2">
        <f>IF(AA38&gt;AA39,0.19,0)+IF(AA38&gt;AA35,0.19,0)+IF(AA38&gt;AA36,0.19,0)+IF(AA38&gt;AA37,0.19,0)+IF(AA38&gt;AA34,0.19,0)</f>
        <v>0</v>
      </c>
      <c r="AD38" s="2">
        <f>IF(V38&gt;V39,1,0)+IF(V38&gt;V34,1,0)+IF(V38&gt;V35,1,0)+IF(V38&gt;V36,1,0)+IF(V38&gt;V37,1,0)</f>
        <v>0</v>
      </c>
      <c r="AE38" s="2">
        <f t="shared" si="26"/>
        <v>0.11099999999999999</v>
      </c>
      <c r="AG38" s="3" t="str">
        <f t="shared" si="27"/>
        <v/>
      </c>
      <c r="AH38" s="3" t="str">
        <f t="shared" si="28"/>
        <v/>
      </c>
      <c r="AI38" s="3" t="str">
        <f t="shared" si="29"/>
        <v/>
      </c>
      <c r="AJ38" s="3" t="str">
        <f t="shared" si="30"/>
        <v/>
      </c>
      <c r="AL38" s="3" t="str">
        <f t="shared" si="31"/>
        <v/>
      </c>
      <c r="AM38" s="3" t="str">
        <f t="shared" si="32"/>
        <v/>
      </c>
    </row>
    <row r="39" spans="1:39" x14ac:dyDescent="0.25">
      <c r="A39" s="3">
        <v>36</v>
      </c>
      <c r="B39" s="9">
        <v>41289</v>
      </c>
      <c r="C39" s="8">
        <v>0.88541666666666663</v>
      </c>
      <c r="D39" s="11" t="s">
        <v>48</v>
      </c>
      <c r="E39" s="7" t="s">
        <v>7</v>
      </c>
      <c r="F39" s="4" t="s">
        <v>0</v>
      </c>
      <c r="G39" s="7" t="str">
        <f>IF('Светско Ракомет 2013'!G40="","",'Светско Ракомет 2013'!G40)</f>
        <v/>
      </c>
      <c r="H39" s="7" t="str">
        <f>IF('Светско Ракомет 2013'!H40="","",'Светско Ракомет 2013'!H40)</f>
        <v/>
      </c>
      <c r="I39" s="4" t="s">
        <v>36</v>
      </c>
      <c r="K39" s="7">
        <v>6</v>
      </c>
      <c r="L39" s="4" t="str">
        <f>VLOOKUP(1,ГрупаЦ,2,FALSE)</f>
        <v>Саудиска Арабија</v>
      </c>
      <c r="M39" s="5">
        <f>VLOOKUP(1,ГрупаЦ,3,FALSE)</f>
        <v>0</v>
      </c>
      <c r="N39" s="5">
        <f>VLOOKUP(1,ГрупаЦ,4,FALSE)</f>
        <v>0</v>
      </c>
      <c r="O39" s="5">
        <f>VLOOKUP(1,ГрупаЦ,5,FALSE)</f>
        <v>0</v>
      </c>
      <c r="P39" s="5">
        <f>VLOOKUP(1,ГрупаЦ,6,FALSE)</f>
        <v>0</v>
      </c>
      <c r="Q39" s="5">
        <f>VLOOKUP(1,ГрупаЦ,7,FALSE)</f>
        <v>0</v>
      </c>
      <c r="R39" s="5">
        <f>VLOOKUP(1,ГрупаЦ,8,FALSE)</f>
        <v>0</v>
      </c>
      <c r="T39" s="7">
        <f>IF(AE39&gt;AE34,1,0)+IF(AE39&gt;AE35,1,0)+IF(AE39&gt;AE36,1,0)+IF(AE39&gt;AE37,1,0)+IF(AE39&gt;AE38,1,0)+1</f>
        <v>6</v>
      </c>
      <c r="U39" s="4" t="s">
        <v>32</v>
      </c>
      <c r="V39" s="5">
        <f t="shared" si="20"/>
        <v>0</v>
      </c>
      <c r="W39" s="5">
        <f t="shared" si="21"/>
        <v>0</v>
      </c>
      <c r="X39" s="5">
        <f t="shared" si="22"/>
        <v>0</v>
      </c>
      <c r="Y39" s="5">
        <f t="shared" si="23"/>
        <v>0</v>
      </c>
      <c r="Z39" s="5">
        <f t="shared" si="24"/>
        <v>0</v>
      </c>
      <c r="AA39" s="5">
        <f t="shared" si="25"/>
        <v>0</v>
      </c>
      <c r="AB39" s="2">
        <v>0.185</v>
      </c>
      <c r="AC39" s="2">
        <f>IF(AA39&gt;AA34,0.19,0)+IF(AA39&gt;AA36,0.19,0)+IF(AA39&gt;AA37,0.19,0)+IF(AA39&gt;AA38,0.19,0)+IF(AA39&gt;AA35,0.19,0)</f>
        <v>0</v>
      </c>
      <c r="AD39" s="2">
        <f>IF(V39&gt;V34,1,0)+IF(V39&gt;V35,1,0)+IF(V39&gt;V36,1,0)+IF(V39&gt;V37,1,0)+IF(V39&gt;V38,1,0)</f>
        <v>0</v>
      </c>
      <c r="AE39" s="2">
        <f t="shared" si="26"/>
        <v>0.185</v>
      </c>
      <c r="AG39" s="3" t="str">
        <f t="shared" si="27"/>
        <v/>
      </c>
      <c r="AH39" s="3" t="str">
        <f t="shared" si="28"/>
        <v/>
      </c>
      <c r="AI39" s="3" t="str">
        <f t="shared" si="29"/>
        <v/>
      </c>
      <c r="AJ39" s="3" t="str">
        <f t="shared" si="30"/>
        <v/>
      </c>
      <c r="AL39" s="3" t="str">
        <f t="shared" si="31"/>
        <v/>
      </c>
      <c r="AM39" s="3" t="str">
        <f t="shared" si="32"/>
        <v/>
      </c>
    </row>
    <row r="40" spans="1:39" x14ac:dyDescent="0.25">
      <c r="A40" s="3">
        <v>37</v>
      </c>
      <c r="B40" s="9">
        <v>41290</v>
      </c>
      <c r="C40" s="8">
        <v>0.66666666666666663</v>
      </c>
      <c r="D40" s="11" t="s">
        <v>43</v>
      </c>
      <c r="E40" s="7" t="s">
        <v>44</v>
      </c>
      <c r="F40" s="3" t="s">
        <v>15</v>
      </c>
      <c r="G40" s="7" t="str">
        <f>IF('Светско Ракомет 2013'!G41="","",'Светско Ракомет 2013'!G41)</f>
        <v/>
      </c>
      <c r="H40" s="7" t="str">
        <f>IF('Светско Ракомет 2013'!H41="","",'Светско Ракомет 2013'!H41)</f>
        <v/>
      </c>
      <c r="I40" s="4" t="s">
        <v>17</v>
      </c>
      <c r="W40" s="17">
        <f>SUM(W34:W39)</f>
        <v>0</v>
      </c>
      <c r="AG40" s="3" t="str">
        <f t="shared" si="27"/>
        <v/>
      </c>
      <c r="AH40" s="3" t="str">
        <f t="shared" si="28"/>
        <v/>
      </c>
      <c r="AI40" s="3" t="str">
        <f t="shared" si="29"/>
        <v/>
      </c>
      <c r="AJ40" s="3" t="str">
        <f t="shared" si="30"/>
        <v/>
      </c>
      <c r="AL40" s="3" t="str">
        <f t="shared" si="31"/>
        <v/>
      </c>
      <c r="AM40" s="3" t="str">
        <f t="shared" si="32"/>
        <v/>
      </c>
    </row>
    <row r="41" spans="1:39" x14ac:dyDescent="0.25">
      <c r="A41" s="3">
        <v>38</v>
      </c>
      <c r="B41" s="9">
        <v>41290</v>
      </c>
      <c r="C41" s="8">
        <v>0.77083333333333337</v>
      </c>
      <c r="D41" s="11" t="s">
        <v>43</v>
      </c>
      <c r="E41" s="7" t="s">
        <v>44</v>
      </c>
      <c r="F41" s="3" t="s">
        <v>3</v>
      </c>
      <c r="G41" s="7" t="str">
        <f>IF('Светско Ракомет 2013'!G42="","",'Светско Ракомет 2013'!G42)</f>
        <v/>
      </c>
      <c r="H41" s="7" t="str">
        <f>IF('Светско Ракомет 2013'!H42="","",'Светско Ракомет 2013'!H42)</f>
        <v/>
      </c>
      <c r="I41" s="4" t="s">
        <v>16</v>
      </c>
      <c r="AG41" s="3" t="str">
        <f t="shared" si="27"/>
        <v/>
      </c>
      <c r="AH41" s="3" t="str">
        <f t="shared" si="28"/>
        <v/>
      </c>
      <c r="AI41" s="3" t="str">
        <f t="shared" si="29"/>
        <v/>
      </c>
      <c r="AJ41" s="3" t="str">
        <f t="shared" si="30"/>
        <v/>
      </c>
      <c r="AL41" s="3" t="str">
        <f t="shared" si="31"/>
        <v/>
      </c>
      <c r="AM41" s="3" t="str">
        <f t="shared" si="32"/>
        <v/>
      </c>
    </row>
    <row r="42" spans="1:39" ht="18.75" x14ac:dyDescent="0.25">
      <c r="A42" s="3">
        <v>39</v>
      </c>
      <c r="B42" s="9">
        <v>41290</v>
      </c>
      <c r="C42" s="8">
        <v>0.86458333333333337</v>
      </c>
      <c r="D42" s="11" t="s">
        <v>43</v>
      </c>
      <c r="E42" s="7" t="s">
        <v>44</v>
      </c>
      <c r="F42" s="4" t="s">
        <v>14</v>
      </c>
      <c r="G42" s="7" t="str">
        <f>IF('Светско Ракомет 2013'!G43="","",'Светско Ракомет 2013'!G43)</f>
        <v/>
      </c>
      <c r="H42" s="7" t="str">
        <f>IF('Светско Ракомет 2013'!H43="","",'Светско Ракомет 2013'!H43)</f>
        <v/>
      </c>
      <c r="I42" s="4" t="s">
        <v>2</v>
      </c>
      <c r="K42" s="52" t="s">
        <v>13</v>
      </c>
      <c r="L42" s="52"/>
      <c r="M42" s="52"/>
      <c r="N42" s="52"/>
      <c r="O42" s="52"/>
      <c r="P42" s="52"/>
      <c r="Q42" s="52"/>
      <c r="R42" s="52"/>
      <c r="T42" s="53" t="s">
        <v>13</v>
      </c>
      <c r="U42" s="53"/>
      <c r="V42" s="53"/>
      <c r="W42" s="53"/>
      <c r="X42" s="53"/>
      <c r="Y42" s="53"/>
      <c r="Z42" s="53"/>
      <c r="AA42" s="53"/>
      <c r="AB42" s="15"/>
      <c r="AC42" s="15"/>
      <c r="AD42" s="15"/>
      <c r="AE42" s="15"/>
      <c r="AG42" s="3" t="str">
        <f t="shared" si="27"/>
        <v/>
      </c>
      <c r="AH42" s="3" t="str">
        <f t="shared" si="28"/>
        <v/>
      </c>
      <c r="AI42" s="3" t="str">
        <f t="shared" si="29"/>
        <v/>
      </c>
      <c r="AJ42" s="3" t="str">
        <f t="shared" si="30"/>
        <v/>
      </c>
      <c r="AL42" s="3" t="str">
        <f t="shared" si="31"/>
        <v/>
      </c>
      <c r="AM42" s="3" t="str">
        <f t="shared" si="32"/>
        <v/>
      </c>
    </row>
    <row r="43" spans="1:39" x14ac:dyDescent="0.25">
      <c r="A43" s="19">
        <v>40</v>
      </c>
      <c r="B43" s="20">
        <v>41290</v>
      </c>
      <c r="C43" s="21">
        <v>0.65625</v>
      </c>
      <c r="D43" s="22" t="s">
        <v>45</v>
      </c>
      <c r="E43" s="23" t="s">
        <v>8</v>
      </c>
      <c r="F43" s="24" t="s">
        <v>26</v>
      </c>
      <c r="G43" s="7" t="str">
        <f>IF('Светско Ракомет 2013'!G44="","",'Светско Ракомет 2013'!G44)</f>
        <v/>
      </c>
      <c r="H43" s="7" t="str">
        <f>IF('Светско Ракомет 2013'!H44="","",'Светско Ракомет 2013'!H44)</f>
        <v/>
      </c>
      <c r="I43" s="24" t="s">
        <v>5</v>
      </c>
      <c r="K43" s="18" t="s">
        <v>23</v>
      </c>
      <c r="L43" s="18" t="s">
        <v>18</v>
      </c>
      <c r="M43" s="18" t="s">
        <v>19</v>
      </c>
      <c r="N43" s="18" t="s">
        <v>54</v>
      </c>
      <c r="O43" s="18" t="s">
        <v>20</v>
      </c>
      <c r="P43" s="18" t="s">
        <v>21</v>
      </c>
      <c r="Q43" s="18" t="s">
        <v>22</v>
      </c>
      <c r="R43" s="18" t="s">
        <v>53</v>
      </c>
      <c r="T43" s="7" t="s">
        <v>23</v>
      </c>
      <c r="U43" s="3" t="s">
        <v>18</v>
      </c>
      <c r="V43" s="5" t="s">
        <v>19</v>
      </c>
      <c r="W43" s="5" t="s">
        <v>54</v>
      </c>
      <c r="X43" s="5" t="s">
        <v>20</v>
      </c>
      <c r="Y43" s="5" t="s">
        <v>21</v>
      </c>
      <c r="Z43" s="5" t="s">
        <v>22</v>
      </c>
      <c r="AA43" s="5" t="s">
        <v>53</v>
      </c>
      <c r="AB43" s="2" t="s">
        <v>58</v>
      </c>
      <c r="AC43" s="2" t="s">
        <v>56</v>
      </c>
      <c r="AD43" s="2" t="s">
        <v>57</v>
      </c>
      <c r="AE43" s="2" t="s">
        <v>59</v>
      </c>
      <c r="AG43" s="3" t="str">
        <f t="shared" si="27"/>
        <v/>
      </c>
      <c r="AH43" s="3" t="str">
        <f t="shared" si="28"/>
        <v/>
      </c>
      <c r="AI43" s="3" t="str">
        <f t="shared" si="29"/>
        <v/>
      </c>
      <c r="AJ43" s="3" t="str">
        <f t="shared" si="30"/>
        <v/>
      </c>
      <c r="AL43" s="3" t="str">
        <f t="shared" si="31"/>
        <v/>
      </c>
      <c r="AM43" s="3" t="str">
        <f t="shared" si="32"/>
        <v/>
      </c>
    </row>
    <row r="44" spans="1:39" x14ac:dyDescent="0.25">
      <c r="A44" s="3">
        <v>41</v>
      </c>
      <c r="B44" s="9">
        <v>41290</v>
      </c>
      <c r="C44" s="8">
        <v>0.75</v>
      </c>
      <c r="D44" s="11" t="s">
        <v>45</v>
      </c>
      <c r="E44" s="7" t="s">
        <v>8</v>
      </c>
      <c r="F44" s="4" t="s">
        <v>24</v>
      </c>
      <c r="G44" s="7" t="str">
        <f>IF('Светско Ракомет 2013'!G45="","",'Светско Ракомет 2013'!G45)</f>
        <v/>
      </c>
      <c r="H44" s="7" t="str">
        <f>IF('Светско Ракомет 2013'!H45="","",'Светско Ракомет 2013'!H45)</f>
        <v/>
      </c>
      <c r="I44" s="4" t="s">
        <v>27</v>
      </c>
      <c r="K44" s="7">
        <v>1</v>
      </c>
      <c r="L44" s="4" t="str">
        <f>VLOOKUP(6,ГрупаД,2,FALSE)</f>
        <v>Шпанија</v>
      </c>
      <c r="M44" s="5">
        <f>VLOOKUP(6,ГрупаД,3,FALSE)</f>
        <v>0</v>
      </c>
      <c r="N44" s="5">
        <f>VLOOKUP(6,ГрупаД,4,FALSE)</f>
        <v>0</v>
      </c>
      <c r="O44" s="5">
        <f>VLOOKUP(6,ГрупаД,5,FALSE)</f>
        <v>0</v>
      </c>
      <c r="P44" s="5">
        <f>VLOOKUP(6,ГрупаД,6,FALSE)</f>
        <v>0</v>
      </c>
      <c r="Q44" s="5">
        <f>VLOOKUP(6,ГрупаД,7,FALSE)</f>
        <v>0</v>
      </c>
      <c r="R44" s="5">
        <f>VLOOKUP(6,ГрупаД,8,FALSE)</f>
        <v>0</v>
      </c>
      <c r="T44" s="7">
        <f>IF(AE44&gt;AE45,1,0)+IF(AE44&gt;AE46,1,0)+IF(AE44&gt;AE47,1,0)+IF(AE44&gt;AE48,1,0)+IF(AE44&gt;AE49,1,0)+1</f>
        <v>3</v>
      </c>
      <c r="U44" s="4" t="s">
        <v>33</v>
      </c>
      <c r="V44" s="5">
        <f t="shared" ref="V44:V49" si="33">X44*2+Y44*1</f>
        <v>0</v>
      </c>
      <c r="W44" s="5">
        <f t="shared" ref="W44:W49" si="34">COUNTIF(Табела_играни_мечеви,U44)</f>
        <v>0</v>
      </c>
      <c r="X44" s="5">
        <f t="shared" ref="X44:X49" si="35">COUNTIF(Победник,U44)</f>
        <v>0</v>
      </c>
      <c r="Y44" s="5">
        <f t="shared" ref="Y44:Y49" si="36">COUNTIF(Нерешени,U44)</f>
        <v>0</v>
      </c>
      <c r="Z44" s="5">
        <f t="shared" ref="Z44:Z49" si="37">COUNTIF(Губитник,U44)</f>
        <v>0</v>
      </c>
      <c r="AA44" s="5">
        <f t="shared" ref="AA44:AA49" si="38">SUMIF(Домакини,U44,Гол_разл._дом.)+SUMIF(Гости,U44,Гол_разл._гос)</f>
        <v>0</v>
      </c>
      <c r="AB44" s="2">
        <v>7.3999999999999996E-2</v>
      </c>
      <c r="AC44" s="2">
        <f>IF(AA44&gt;AA49,0.19,0)+IF(AA44&gt;AA47,0.19,0)+IF(AA44&gt;AA46,0.19,0)+IF(AA44&gt;AA45,0.19,0)+IF(AA44&gt;AA48,0.19,0)</f>
        <v>0</v>
      </c>
      <c r="AD44" s="2">
        <f>IF(V44&gt;V45,1,0)+IF(V44&gt;V46,1,0)+IF(V44&gt;V47,1,0)+IF(V44&gt;V48,1,0)+IF(V44&gt;V49,1,0)</f>
        <v>0</v>
      </c>
      <c r="AE44" s="2">
        <f t="shared" ref="AE44:AE49" si="39">AD44+AC44+AB44</f>
        <v>7.3999999999999996E-2</v>
      </c>
      <c r="AG44" s="3" t="str">
        <f t="shared" si="27"/>
        <v/>
      </c>
      <c r="AH44" s="3" t="str">
        <f t="shared" si="28"/>
        <v/>
      </c>
      <c r="AI44" s="3" t="str">
        <f t="shared" si="29"/>
        <v/>
      </c>
      <c r="AJ44" s="3" t="str">
        <f t="shared" si="30"/>
        <v/>
      </c>
      <c r="AL44" s="3" t="str">
        <f t="shared" si="31"/>
        <v/>
      </c>
      <c r="AM44" s="3" t="str">
        <f t="shared" si="32"/>
        <v/>
      </c>
    </row>
    <row r="45" spans="1:39" x14ac:dyDescent="0.25">
      <c r="A45" s="3">
        <v>42</v>
      </c>
      <c r="B45" s="9">
        <v>41290</v>
      </c>
      <c r="C45" s="8">
        <v>0.84375</v>
      </c>
      <c r="D45" s="11" t="s">
        <v>45</v>
      </c>
      <c r="E45" s="7" t="s">
        <v>8</v>
      </c>
      <c r="F45" s="4" t="s">
        <v>25</v>
      </c>
      <c r="G45" s="7" t="str">
        <f>IF('Светско Ракомет 2013'!G46="","",'Светско Ракомет 2013'!G46)</f>
        <v/>
      </c>
      <c r="H45" s="7" t="str">
        <f>IF('Светско Ракомет 2013'!H46="","",'Светско Ракомет 2013'!H46)</f>
        <v/>
      </c>
      <c r="I45" s="4" t="s">
        <v>1</v>
      </c>
      <c r="K45" s="7">
        <v>2</v>
      </c>
      <c r="L45" s="4" t="str">
        <f>VLOOKUP(5,ГрупаД,2,FALSE)</f>
        <v>Хрватска</v>
      </c>
      <c r="M45" s="5">
        <f>VLOOKUP(5,ГрупаД,3,FALSE)</f>
        <v>0</v>
      </c>
      <c r="N45" s="5">
        <f>VLOOKUP(5,ГрупаД,4,FALSE)</f>
        <v>0</v>
      </c>
      <c r="O45" s="5">
        <f>VLOOKUP(5,ГрупаД,5,FALSE)</f>
        <v>0</v>
      </c>
      <c r="P45" s="5">
        <f>VLOOKUP(5,ГрупаД,6,FALSE)</f>
        <v>0</v>
      </c>
      <c r="Q45" s="5">
        <f>VLOOKUP(5,ГрупаД,7,FALSE)</f>
        <v>0</v>
      </c>
      <c r="R45" s="5">
        <f>VLOOKUP(5,ГрупаД,8,FALSE)</f>
        <v>0</v>
      </c>
      <c r="T45" s="7">
        <f>IF(AE45&gt;AE46,1,0)+IF(AE45&gt;AE47,1,0)+IF(AE45&gt;AE48,1,0)+IF(AE45&gt;AE49,1,0)+IF(AE45&gt;AE44,1,0)+1</f>
        <v>1</v>
      </c>
      <c r="U45" s="4" t="s">
        <v>34</v>
      </c>
      <c r="V45" s="5">
        <f t="shared" si="33"/>
        <v>0</v>
      </c>
      <c r="W45" s="5">
        <f t="shared" si="34"/>
        <v>0</v>
      </c>
      <c r="X45" s="5">
        <f t="shared" si="35"/>
        <v>0</v>
      </c>
      <c r="Y45" s="5">
        <f t="shared" si="36"/>
        <v>0</v>
      </c>
      <c r="Z45" s="5">
        <f t="shared" si="37"/>
        <v>0</v>
      </c>
      <c r="AA45" s="5">
        <f t="shared" si="38"/>
        <v>0</v>
      </c>
      <c r="AB45" s="2">
        <v>0</v>
      </c>
      <c r="AC45" s="2">
        <f>IF(AA45&gt;AA44,0.19,0)+IF(AA45&gt;AA48,0.19,0)+IF(AA45&gt;AA47,0.19,0)+IF(AA45&gt;AA46,0.19,0)+IF(AA45&gt;AA49,0.19,0)</f>
        <v>0</v>
      </c>
      <c r="AD45" s="2">
        <f>IF(V45&gt;V46,1,0)+IF(V45&gt;V47,1,0)+IF(V45&gt;V48,1,0)+IF(V45&gt;V49,1,0)+IF(V45&gt;V44,1,0)</f>
        <v>0</v>
      </c>
      <c r="AE45" s="2">
        <f t="shared" si="39"/>
        <v>0</v>
      </c>
      <c r="AG45" s="3" t="str">
        <f t="shared" si="27"/>
        <v/>
      </c>
      <c r="AH45" s="3" t="str">
        <f t="shared" si="28"/>
        <v/>
      </c>
      <c r="AI45" s="3" t="str">
        <f t="shared" si="29"/>
        <v/>
      </c>
      <c r="AJ45" s="3" t="str">
        <f t="shared" si="30"/>
        <v/>
      </c>
      <c r="AL45" s="3" t="str">
        <f t="shared" si="31"/>
        <v/>
      </c>
      <c r="AM45" s="3" t="str">
        <f t="shared" si="32"/>
        <v/>
      </c>
    </row>
    <row r="46" spans="1:39" x14ac:dyDescent="0.25">
      <c r="A46" s="3">
        <v>43</v>
      </c>
      <c r="B46" s="9">
        <v>41291</v>
      </c>
      <c r="C46" s="8">
        <v>0.65625</v>
      </c>
      <c r="D46" s="11" t="s">
        <v>46</v>
      </c>
      <c r="E46" s="7" t="s">
        <v>47</v>
      </c>
      <c r="F46" s="4" t="s">
        <v>31</v>
      </c>
      <c r="G46" s="7" t="str">
        <f>IF('Светско Ракомет 2013'!G47="","",'Светско Ракомет 2013'!G47)</f>
        <v/>
      </c>
      <c r="H46" s="7" t="str">
        <f>IF('Светско Ракомет 2013'!H47="","",'Светско Ракомет 2013'!H47)</f>
        <v/>
      </c>
      <c r="I46" s="4" t="s">
        <v>29</v>
      </c>
      <c r="K46" s="7">
        <v>3</v>
      </c>
      <c r="L46" s="4" t="str">
        <f>VLOOKUP(4,ГрупаД,2,FALSE)</f>
        <v>Унгарија</v>
      </c>
      <c r="M46" s="5">
        <f>VLOOKUP(4,ГрупаД,3,FALSE)</f>
        <v>0</v>
      </c>
      <c r="N46" s="5">
        <f>VLOOKUP(4,ГрупаД,4,FALSE)</f>
        <v>0</v>
      </c>
      <c r="O46" s="5">
        <f>VLOOKUP(4,ГрупаД,5,FALSE)</f>
        <v>0</v>
      </c>
      <c r="P46" s="5">
        <f>VLOOKUP(4,ГрупаД,6,FALSE)</f>
        <v>0</v>
      </c>
      <c r="Q46" s="5">
        <f>VLOOKUP(4,ГрупаД,7,FALSE)</f>
        <v>0</v>
      </c>
      <c r="R46" s="5">
        <f>VLOOKUP(4,ГрупаД,8,FALSE)</f>
        <v>0</v>
      </c>
      <c r="T46" s="7">
        <f>IF(AE46&gt;AE47,1,0)+IF(AE46&gt;AE48,1,0)+IF(AE46&gt;AE49,1,0)+IF(AE46&gt;AE44,1,0)+IF(AE46&gt;AE45,1,0)+1</f>
        <v>5</v>
      </c>
      <c r="U46" s="4" t="s">
        <v>0</v>
      </c>
      <c r="V46" s="5">
        <f t="shared" si="33"/>
        <v>0</v>
      </c>
      <c r="W46" s="5">
        <f t="shared" si="34"/>
        <v>0</v>
      </c>
      <c r="X46" s="5">
        <f t="shared" si="35"/>
        <v>0</v>
      </c>
      <c r="Y46" s="5">
        <f t="shared" si="36"/>
        <v>0</v>
      </c>
      <c r="Z46" s="5">
        <f t="shared" si="37"/>
        <v>0</v>
      </c>
      <c r="AA46" s="5">
        <f t="shared" si="38"/>
        <v>0</v>
      </c>
      <c r="AB46" s="2">
        <v>0.14799999999999999</v>
      </c>
      <c r="AC46" s="2">
        <f>IF(AA46&gt;AA45,0.19,0)+IF(AA46&gt;AA49,0.19,0)+IF(AA46&gt;AA48,0.19,0)+IF(AA46&gt;AA47,0.19,0)+IF(AA46&gt;AA44,0.19,0)</f>
        <v>0</v>
      </c>
      <c r="AD46" s="2">
        <f>IF(V46&gt;V47,1,0)+IF(V46&gt;V48,1,0)+IF(V46&gt;V49,1,0)+IF(V46&gt;V44,1,0)+IF(V46&gt;V45,1,0)</f>
        <v>0</v>
      </c>
      <c r="AE46" s="2">
        <f t="shared" si="39"/>
        <v>0.14799999999999999</v>
      </c>
      <c r="AG46" s="3" t="str">
        <f t="shared" si="27"/>
        <v/>
      </c>
      <c r="AH46" s="3" t="str">
        <f t="shared" si="28"/>
        <v/>
      </c>
      <c r="AI46" s="3" t="str">
        <f t="shared" si="29"/>
        <v/>
      </c>
      <c r="AJ46" s="3" t="str">
        <f t="shared" si="30"/>
        <v/>
      </c>
      <c r="AL46" s="3" t="str">
        <f t="shared" si="31"/>
        <v/>
      </c>
      <c r="AM46" s="3" t="str">
        <f t="shared" si="32"/>
        <v/>
      </c>
    </row>
    <row r="47" spans="1:39" x14ac:dyDescent="0.25">
      <c r="A47" s="3">
        <v>44</v>
      </c>
      <c r="B47" s="9">
        <v>41291</v>
      </c>
      <c r="C47" s="8">
        <v>0.75</v>
      </c>
      <c r="D47" s="11" t="s">
        <v>46</v>
      </c>
      <c r="E47" s="7" t="s">
        <v>47</v>
      </c>
      <c r="F47" s="4" t="s">
        <v>28</v>
      </c>
      <c r="G47" s="7" t="str">
        <f>IF('Светско Ракомет 2013'!G48="","",'Светско Ракомет 2013'!G48)</f>
        <v/>
      </c>
      <c r="H47" s="7" t="str">
        <f>IF('Светско Ракомет 2013'!H48="","",'Светско Ракомет 2013'!H48)</f>
        <v/>
      </c>
      <c r="I47" s="4" t="s">
        <v>30</v>
      </c>
      <c r="K47" s="7">
        <v>4</v>
      </c>
      <c r="L47" s="4" t="str">
        <f>VLOOKUP(3,ГрупаД,2,FALSE)</f>
        <v>Алжир</v>
      </c>
      <c r="M47" s="5">
        <f>VLOOKUP(3,ГрупаД,3,FALSE)</f>
        <v>0</v>
      </c>
      <c r="N47" s="5">
        <f>VLOOKUP(3,ГрупаД,4,FALSE)</f>
        <v>0</v>
      </c>
      <c r="O47" s="5">
        <f>VLOOKUP(3,ГрупаД,5,FALSE)</f>
        <v>0</v>
      </c>
      <c r="P47" s="5">
        <f>VLOOKUP(3,ГрупаД,6,FALSE)</f>
        <v>0</v>
      </c>
      <c r="Q47" s="5">
        <f>VLOOKUP(3,ГрупаД,7,FALSE)</f>
        <v>0</v>
      </c>
      <c r="R47" s="5">
        <f>VLOOKUP(3,ГрупаД,8,FALSE)</f>
        <v>0</v>
      </c>
      <c r="T47" s="7">
        <f>IF(AE47&gt;AE48,1,0)+IF(AE47&gt;AE49,1,0)+IF(AE47&gt;AE44,1,0)+IF(AE47&gt;AE45,1,0)+IF(AE47&gt;AE46,1,0)+1</f>
        <v>2</v>
      </c>
      <c r="U47" s="4" t="s">
        <v>35</v>
      </c>
      <c r="V47" s="5">
        <f t="shared" si="33"/>
        <v>0</v>
      </c>
      <c r="W47" s="5">
        <f t="shared" si="34"/>
        <v>0</v>
      </c>
      <c r="X47" s="5">
        <f t="shared" si="35"/>
        <v>0</v>
      </c>
      <c r="Y47" s="5">
        <f t="shared" si="36"/>
        <v>0</v>
      </c>
      <c r="Z47" s="5">
        <f t="shared" si="37"/>
        <v>0</v>
      </c>
      <c r="AA47" s="5">
        <f t="shared" si="38"/>
        <v>0</v>
      </c>
      <c r="AB47" s="2">
        <v>3.6999999999999998E-2</v>
      </c>
      <c r="AC47" s="2">
        <f>IF(AA47&gt;AA46,0.19,0)+IF(AA47&gt;AA44,0.19,0)+IF(AA47&gt;AA49,0.19,0)+IF(AA47&gt;AA48,0.19,0)+IF(AA47&gt;AA45,0.19,0)</f>
        <v>0</v>
      </c>
      <c r="AD47" s="2">
        <f>IF(V47&gt;V48,1,0)+IF(V47&gt;V49,1,0)+IF(V47&gt;V44,1,0)+IF(V47&gt;V45,1,0)+IF(V47&gt;V46,1,0)</f>
        <v>0</v>
      </c>
      <c r="AE47" s="2">
        <f t="shared" si="39"/>
        <v>3.6999999999999998E-2</v>
      </c>
      <c r="AG47" s="3" t="str">
        <f t="shared" si="27"/>
        <v/>
      </c>
      <c r="AH47" s="3" t="str">
        <f t="shared" si="28"/>
        <v/>
      </c>
      <c r="AI47" s="3" t="str">
        <f t="shared" si="29"/>
        <v/>
      </c>
      <c r="AJ47" s="3" t="str">
        <f t="shared" si="30"/>
        <v/>
      </c>
      <c r="AL47" s="3" t="str">
        <f t="shared" si="31"/>
        <v/>
      </c>
      <c r="AM47" s="3" t="str">
        <f t="shared" si="32"/>
        <v/>
      </c>
    </row>
    <row r="48" spans="1:39" x14ac:dyDescent="0.25">
      <c r="A48" s="3">
        <v>45</v>
      </c>
      <c r="B48" s="9">
        <v>41291</v>
      </c>
      <c r="C48" s="8">
        <v>0.84375</v>
      </c>
      <c r="D48" s="11" t="s">
        <v>46</v>
      </c>
      <c r="E48" s="7" t="s">
        <v>47</v>
      </c>
      <c r="F48" s="4" t="s">
        <v>4</v>
      </c>
      <c r="G48" s="7" t="str">
        <f>IF('Светско Ракомет 2013'!G49="","",'Светско Ракомет 2013'!G49)</f>
        <v/>
      </c>
      <c r="H48" s="7" t="str">
        <f>IF('Светско Ракомет 2013'!H49="","",'Светско Ракомет 2013'!H49)</f>
        <v/>
      </c>
      <c r="I48" s="4" t="s">
        <v>32</v>
      </c>
      <c r="K48" s="7">
        <v>5</v>
      </c>
      <c r="L48" s="4" t="str">
        <f>VLOOKUP(2,ГрупаД,2,FALSE)</f>
        <v>Египет</v>
      </c>
      <c r="M48" s="5">
        <f>VLOOKUP(2,ГрупаД,3,FALSE)</f>
        <v>0</v>
      </c>
      <c r="N48" s="5">
        <f>VLOOKUP(2,ГрупаД,4,FALSE)</f>
        <v>0</v>
      </c>
      <c r="O48" s="5">
        <f>VLOOKUP(2,ГрупаД,5,FALSE)</f>
        <v>0</v>
      </c>
      <c r="P48" s="5">
        <f>VLOOKUP(2,ГрупаД,6,FALSE)</f>
        <v>0</v>
      </c>
      <c r="Q48" s="5">
        <f>VLOOKUP(2,ГрупаД,7,FALSE)</f>
        <v>0</v>
      </c>
      <c r="R48" s="5">
        <f>VLOOKUP(2,ГрупаД,8,FALSE)</f>
        <v>0</v>
      </c>
      <c r="T48" s="7">
        <f>IF(AE48&gt;AE49,1,0)+IF(AE48&gt;AE44,1,0)+IF(AE48&gt;AE45,1,0)+IF(AE48&gt;AE46,1,0)+IF(AE48&gt;AE47,1,0)+1</f>
        <v>6</v>
      </c>
      <c r="U48" s="4" t="s">
        <v>6</v>
      </c>
      <c r="V48" s="5">
        <f t="shared" si="33"/>
        <v>0</v>
      </c>
      <c r="W48" s="5">
        <f t="shared" si="34"/>
        <v>0</v>
      </c>
      <c r="X48" s="5">
        <f t="shared" si="35"/>
        <v>0</v>
      </c>
      <c r="Y48" s="5">
        <f t="shared" si="36"/>
        <v>0</v>
      </c>
      <c r="Z48" s="5">
        <f t="shared" si="37"/>
        <v>0</v>
      </c>
      <c r="AA48" s="5">
        <f t="shared" si="38"/>
        <v>0</v>
      </c>
      <c r="AB48" s="2">
        <v>0.185</v>
      </c>
      <c r="AC48" s="2">
        <f>IF(AA48&gt;AA47,0.19,0)+IF(AA48&gt;AA45,0.19,0)+IF(AA48&gt;AA44,0.19,0)+IF(AA48&gt;AA49,0.19,0)+IF(AA48&gt;AA46,0.19,0)</f>
        <v>0</v>
      </c>
      <c r="AD48" s="2">
        <f>IF(V48&gt;V49,1,0)+IF(V48&gt;V44,1,0)+IF(V48&gt;V45,1,0)+IF(V48&gt;V46,1,0)+IF(V48&gt;V47,1,0)</f>
        <v>0</v>
      </c>
      <c r="AE48" s="2">
        <f t="shared" si="39"/>
        <v>0.185</v>
      </c>
      <c r="AG48" s="3" t="str">
        <f t="shared" si="27"/>
        <v/>
      </c>
      <c r="AH48" s="3" t="str">
        <f t="shared" si="28"/>
        <v/>
      </c>
      <c r="AI48" s="3" t="str">
        <f t="shared" si="29"/>
        <v/>
      </c>
      <c r="AJ48" s="3" t="str">
        <f t="shared" si="30"/>
        <v/>
      </c>
      <c r="AL48" s="3" t="str">
        <f t="shared" si="31"/>
        <v/>
      </c>
      <c r="AM48" s="3" t="str">
        <f t="shared" si="32"/>
        <v/>
      </c>
    </row>
    <row r="49" spans="1:39" x14ac:dyDescent="0.25">
      <c r="A49" s="3">
        <v>46</v>
      </c>
      <c r="B49" s="9">
        <v>41291</v>
      </c>
      <c r="C49" s="8">
        <v>0.69791666666666663</v>
      </c>
      <c r="D49" s="11" t="s">
        <v>48</v>
      </c>
      <c r="E49" s="7" t="s">
        <v>7</v>
      </c>
      <c r="F49" s="4" t="s">
        <v>34</v>
      </c>
      <c r="G49" s="7" t="str">
        <f>IF('Светско Ракомет 2013'!G50="","",'Светско Ракомет 2013'!G50)</f>
        <v/>
      </c>
      <c r="H49" s="7" t="str">
        <f>IF('Светско Ракомет 2013'!H50="","",'Светско Ракомет 2013'!H50)</f>
        <v/>
      </c>
      <c r="I49" s="4" t="s">
        <v>33</v>
      </c>
      <c r="K49" s="7">
        <v>6</v>
      </c>
      <c r="L49" s="4" t="str">
        <f>VLOOKUP(1,ГрупаД,2,FALSE)</f>
        <v>Австралија</v>
      </c>
      <c r="M49" s="5">
        <f>VLOOKUP(1,ГрупаД,3,FALSE)</f>
        <v>0</v>
      </c>
      <c r="N49" s="5">
        <f>VLOOKUP(1,ГрупаД,4,FALSE)</f>
        <v>0</v>
      </c>
      <c r="O49" s="5">
        <f>VLOOKUP(1,ГрупаД,5,FALSE)</f>
        <v>0</v>
      </c>
      <c r="P49" s="5">
        <f>VLOOKUP(1,ГрупаД,6,FALSE)</f>
        <v>0</v>
      </c>
      <c r="Q49" s="5">
        <f>VLOOKUP(1,ГрупаД,7,FALSE)</f>
        <v>0</v>
      </c>
      <c r="R49" s="5">
        <f>VLOOKUP(1,ГрупаД,8,FALSE)</f>
        <v>0</v>
      </c>
      <c r="T49" s="7">
        <f>IF(AE49&gt;AE44,1,0)+IF(AE49&gt;AE45,1,0)+IF(AE49&gt;AE46,1,0)+IF(AE49&gt;AE47,1,0)+IF(AE49&gt;AE48,1,0)+1</f>
        <v>4</v>
      </c>
      <c r="U49" s="4" t="s">
        <v>36</v>
      </c>
      <c r="V49" s="5">
        <f t="shared" si="33"/>
        <v>0</v>
      </c>
      <c r="W49" s="5">
        <f t="shared" si="34"/>
        <v>0</v>
      </c>
      <c r="X49" s="5">
        <f t="shared" si="35"/>
        <v>0</v>
      </c>
      <c r="Y49" s="5">
        <f t="shared" si="36"/>
        <v>0</v>
      </c>
      <c r="Z49" s="5">
        <f t="shared" si="37"/>
        <v>0</v>
      </c>
      <c r="AA49" s="5">
        <f t="shared" si="38"/>
        <v>0</v>
      </c>
      <c r="AB49" s="2">
        <v>0.11099999999999999</v>
      </c>
      <c r="AC49" s="2">
        <f>IF(AA49&gt;AA48,0.19,0)+IF(AA49&gt;AA46,0.19,0)+IF(AA49&gt;AA45,0.19,0)+IF(AA49&gt;AA44,0.19,0)+IF(AA49&gt;AA47,0.19,0)</f>
        <v>0</v>
      </c>
      <c r="AD49" s="2">
        <f>IF(V49&gt;V44,1,0)+IF(V49&gt;V45,1,0)+IF(V49&gt;V46,1,0)+IF(V49&gt;V47,1,0)+IF(V49&gt;V48,1,0)</f>
        <v>0</v>
      </c>
      <c r="AE49" s="2">
        <f t="shared" si="39"/>
        <v>0.11099999999999999</v>
      </c>
      <c r="AG49" s="3" t="str">
        <f t="shared" si="27"/>
        <v/>
      </c>
      <c r="AH49" s="3" t="str">
        <f t="shared" si="28"/>
        <v/>
      </c>
      <c r="AI49" s="3" t="str">
        <f t="shared" si="29"/>
        <v/>
      </c>
      <c r="AJ49" s="3" t="str">
        <f t="shared" si="30"/>
        <v/>
      </c>
      <c r="AL49" s="3" t="str">
        <f t="shared" si="31"/>
        <v/>
      </c>
      <c r="AM49" s="3" t="str">
        <f t="shared" si="32"/>
        <v/>
      </c>
    </row>
    <row r="50" spans="1:39" x14ac:dyDescent="0.25">
      <c r="A50" s="3">
        <v>47</v>
      </c>
      <c r="B50" s="9">
        <v>41291</v>
      </c>
      <c r="C50" s="8">
        <v>0.79166666666666663</v>
      </c>
      <c r="D50" s="11" t="s">
        <v>48</v>
      </c>
      <c r="E50" s="7" t="s">
        <v>7</v>
      </c>
      <c r="F50" s="4" t="s">
        <v>36</v>
      </c>
      <c r="G50" s="7" t="str">
        <f>IF('Светско Ракомет 2013'!G51="","",'Светско Ракомет 2013'!G51)</f>
        <v/>
      </c>
      <c r="H50" s="7" t="str">
        <f>IF('Светско Ракомет 2013'!H51="","",'Светско Ракомет 2013'!H51)</f>
        <v/>
      </c>
      <c r="I50" s="4" t="s">
        <v>6</v>
      </c>
      <c r="W50" s="17">
        <f>SUM(W44:W49)</f>
        <v>0</v>
      </c>
      <c r="AG50" s="3" t="str">
        <f t="shared" si="27"/>
        <v/>
      </c>
      <c r="AH50" s="3" t="str">
        <f t="shared" si="28"/>
        <v/>
      </c>
      <c r="AI50" s="3" t="str">
        <f t="shared" si="29"/>
        <v/>
      </c>
      <c r="AJ50" s="3" t="str">
        <f t="shared" si="30"/>
        <v/>
      </c>
      <c r="AL50" s="3" t="str">
        <f t="shared" si="31"/>
        <v/>
      </c>
      <c r="AM50" s="3" t="str">
        <f t="shared" si="32"/>
        <v/>
      </c>
    </row>
    <row r="51" spans="1:39" x14ac:dyDescent="0.25">
      <c r="A51" s="3">
        <v>48</v>
      </c>
      <c r="B51" s="9">
        <v>41291</v>
      </c>
      <c r="C51" s="8">
        <v>0.88541666666666663</v>
      </c>
      <c r="D51" s="11" t="s">
        <v>48</v>
      </c>
      <c r="E51" s="7" t="s">
        <v>7</v>
      </c>
      <c r="F51" s="4" t="s">
        <v>0</v>
      </c>
      <c r="G51" s="7" t="str">
        <f>IF('Светско Ракомет 2013'!G52="","",'Светско Ракомет 2013'!G52)</f>
        <v/>
      </c>
      <c r="H51" s="7" t="str">
        <f>IF('Светско Ракомет 2013'!H52="","",'Светско Ракомет 2013'!H52)</f>
        <v/>
      </c>
      <c r="I51" s="4" t="s">
        <v>35</v>
      </c>
      <c r="AG51" s="3" t="str">
        <f t="shared" si="27"/>
        <v/>
      </c>
      <c r="AH51" s="3" t="str">
        <f t="shared" si="28"/>
        <v/>
      </c>
      <c r="AI51" s="3" t="str">
        <f t="shared" si="29"/>
        <v/>
      </c>
      <c r="AJ51" s="3" t="str">
        <f t="shared" si="30"/>
        <v/>
      </c>
      <c r="AL51" s="3" t="str">
        <f t="shared" si="31"/>
        <v/>
      </c>
      <c r="AM51" s="3" t="str">
        <f t="shared" si="32"/>
        <v/>
      </c>
    </row>
    <row r="52" spans="1:39" x14ac:dyDescent="0.25">
      <c r="A52" s="3">
        <v>49</v>
      </c>
      <c r="B52" s="9">
        <v>41292</v>
      </c>
      <c r="C52" s="8">
        <v>0.66666666666666663</v>
      </c>
      <c r="D52" s="11" t="s">
        <v>43</v>
      </c>
      <c r="E52" s="7" t="s">
        <v>44</v>
      </c>
      <c r="F52" s="4" t="s">
        <v>14</v>
      </c>
      <c r="G52" s="7" t="str">
        <f>IF('Светско Ракомет 2013'!G53="","",'Светско Ракомет 2013'!G53)</f>
        <v/>
      </c>
      <c r="H52" s="7" t="str">
        <f>IF('Светско Ракомет 2013'!H53="","",'Светско Ракомет 2013'!H53)</f>
        <v/>
      </c>
      <c r="I52" s="4" t="s">
        <v>17</v>
      </c>
      <c r="AG52" s="3" t="str">
        <f t="shared" si="27"/>
        <v/>
      </c>
      <c r="AH52" s="3" t="str">
        <f t="shared" si="28"/>
        <v/>
      </c>
      <c r="AI52" s="3" t="str">
        <f t="shared" si="29"/>
        <v/>
      </c>
      <c r="AJ52" s="3" t="str">
        <f t="shared" si="30"/>
        <v/>
      </c>
      <c r="AL52" s="3" t="str">
        <f t="shared" si="31"/>
        <v/>
      </c>
      <c r="AM52" s="3" t="str">
        <f t="shared" si="32"/>
        <v/>
      </c>
    </row>
    <row r="53" spans="1:39" x14ac:dyDescent="0.25">
      <c r="A53" s="3">
        <v>50</v>
      </c>
      <c r="B53" s="9">
        <v>41292</v>
      </c>
      <c r="C53" s="8">
        <v>0.76041666666666663</v>
      </c>
      <c r="D53" s="11" t="s">
        <v>43</v>
      </c>
      <c r="E53" s="7" t="s">
        <v>44</v>
      </c>
      <c r="F53" s="4" t="s">
        <v>2</v>
      </c>
      <c r="G53" s="7" t="str">
        <f>IF('Светско Ракомет 2013'!G54="","",'Светско Ракомет 2013'!G54)</f>
        <v/>
      </c>
      <c r="H53" s="7" t="str">
        <f>IF('Светско Ракомет 2013'!H54="","",'Светско Ракомет 2013'!H54)</f>
        <v/>
      </c>
      <c r="I53" s="3" t="s">
        <v>3</v>
      </c>
      <c r="AG53" s="3" t="str">
        <f t="shared" si="27"/>
        <v/>
      </c>
      <c r="AH53" s="3" t="str">
        <f t="shared" si="28"/>
        <v/>
      </c>
      <c r="AI53" s="3" t="str">
        <f t="shared" si="29"/>
        <v/>
      </c>
      <c r="AJ53" s="3" t="str">
        <f t="shared" si="30"/>
        <v/>
      </c>
      <c r="AL53" s="3" t="str">
        <f t="shared" si="31"/>
        <v/>
      </c>
      <c r="AM53" s="3" t="str">
        <f t="shared" si="32"/>
        <v/>
      </c>
    </row>
    <row r="54" spans="1:39" x14ac:dyDescent="0.25">
      <c r="A54" s="3">
        <v>51</v>
      </c>
      <c r="B54" s="9">
        <v>41292</v>
      </c>
      <c r="C54" s="8">
        <v>0.86458333333333337</v>
      </c>
      <c r="D54" s="11" t="s">
        <v>43</v>
      </c>
      <c r="E54" s="7" t="s">
        <v>44</v>
      </c>
      <c r="F54" s="4" t="s">
        <v>16</v>
      </c>
      <c r="G54" s="7" t="str">
        <f>IF('Светско Ракомет 2013'!G55="","",'Светско Ракомет 2013'!G55)</f>
        <v/>
      </c>
      <c r="H54" s="7" t="str">
        <f>IF('Светско Ракомет 2013'!H55="","",'Светско Ракомет 2013'!H55)</f>
        <v/>
      </c>
      <c r="I54" s="3" t="s">
        <v>15</v>
      </c>
      <c r="AG54" s="3" t="str">
        <f t="shared" si="27"/>
        <v/>
      </c>
      <c r="AH54" s="3" t="str">
        <f t="shared" si="28"/>
        <v/>
      </c>
      <c r="AI54" s="3" t="str">
        <f t="shared" si="29"/>
        <v/>
      </c>
      <c r="AJ54" s="3" t="str">
        <f t="shared" si="30"/>
        <v/>
      </c>
      <c r="AL54" s="3" t="str">
        <f t="shared" si="31"/>
        <v/>
      </c>
      <c r="AM54" s="3" t="str">
        <f t="shared" si="32"/>
        <v/>
      </c>
    </row>
    <row r="55" spans="1:39" x14ac:dyDescent="0.25">
      <c r="A55" s="3">
        <v>52</v>
      </c>
      <c r="B55" s="9">
        <v>41292</v>
      </c>
      <c r="C55" s="8">
        <v>0.65625</v>
      </c>
      <c r="D55" s="11" t="s">
        <v>45</v>
      </c>
      <c r="E55" s="7" t="s">
        <v>8</v>
      </c>
      <c r="F55" s="4" t="s">
        <v>5</v>
      </c>
      <c r="G55" s="7" t="str">
        <f>IF('Светско Ракомет 2013'!G56="","",'Светско Ракомет 2013'!G56)</f>
        <v/>
      </c>
      <c r="H55" s="7" t="str">
        <f>IF('Светско Ракомет 2013'!H56="","",'Светско Ракомет 2013'!H56)</f>
        <v/>
      </c>
      <c r="I55" s="4" t="s">
        <v>24</v>
      </c>
      <c r="AG55" s="3" t="str">
        <f t="shared" si="27"/>
        <v/>
      </c>
      <c r="AH55" s="3" t="str">
        <f t="shared" si="28"/>
        <v/>
      </c>
      <c r="AI55" s="3" t="str">
        <f t="shared" si="29"/>
        <v/>
      </c>
      <c r="AJ55" s="3" t="str">
        <f t="shared" si="30"/>
        <v/>
      </c>
      <c r="AL55" s="3" t="str">
        <f t="shared" si="31"/>
        <v/>
      </c>
      <c r="AM55" s="3" t="str">
        <f t="shared" si="32"/>
        <v/>
      </c>
    </row>
    <row r="56" spans="1:39" x14ac:dyDescent="0.25">
      <c r="A56" s="3">
        <v>53</v>
      </c>
      <c r="B56" s="9">
        <v>41292</v>
      </c>
      <c r="C56" s="8">
        <v>0.75</v>
      </c>
      <c r="D56" s="11" t="s">
        <v>45</v>
      </c>
      <c r="E56" s="7" t="s">
        <v>8</v>
      </c>
      <c r="F56" s="4" t="s">
        <v>25</v>
      </c>
      <c r="G56" s="7" t="str">
        <f>IF('Светско Ракомет 2013'!G57="","",'Светско Ракомет 2013'!G57)</f>
        <v/>
      </c>
      <c r="H56" s="7" t="str">
        <f>IF('Светско Ракомет 2013'!H57="","",'Светско Ракомет 2013'!H57)</f>
        <v/>
      </c>
      <c r="I56" s="4" t="s">
        <v>27</v>
      </c>
      <c r="AG56" s="3" t="str">
        <f t="shared" si="27"/>
        <v/>
      </c>
      <c r="AH56" s="3" t="str">
        <f t="shared" si="28"/>
        <v/>
      </c>
      <c r="AI56" s="3" t="str">
        <f t="shared" si="29"/>
        <v/>
      </c>
      <c r="AJ56" s="3" t="str">
        <f t="shared" si="30"/>
        <v/>
      </c>
      <c r="AL56" s="3" t="str">
        <f t="shared" si="31"/>
        <v/>
      </c>
      <c r="AM56" s="3" t="str">
        <f t="shared" si="32"/>
        <v/>
      </c>
    </row>
    <row r="57" spans="1:39" x14ac:dyDescent="0.25">
      <c r="A57" s="19">
        <v>54</v>
      </c>
      <c r="B57" s="20">
        <v>41292</v>
      </c>
      <c r="C57" s="21">
        <v>0.84375</v>
      </c>
      <c r="D57" s="22" t="s">
        <v>45</v>
      </c>
      <c r="E57" s="23" t="s">
        <v>8</v>
      </c>
      <c r="F57" s="24" t="s">
        <v>1</v>
      </c>
      <c r="G57" s="7" t="str">
        <f>IF('Светско Ракомет 2013'!G58="","",'Светско Ракомет 2013'!G58)</f>
        <v/>
      </c>
      <c r="H57" s="7" t="str">
        <f>IF('Светско Ракомет 2013'!H58="","",'Светско Ракомет 2013'!H58)</f>
        <v/>
      </c>
      <c r="I57" s="24" t="s">
        <v>26</v>
      </c>
      <c r="AG57" s="3" t="str">
        <f t="shared" si="27"/>
        <v/>
      </c>
      <c r="AH57" s="3" t="str">
        <f t="shared" si="28"/>
        <v/>
      </c>
      <c r="AI57" s="3" t="str">
        <f t="shared" si="29"/>
        <v/>
      </c>
      <c r="AJ57" s="3" t="str">
        <f t="shared" si="30"/>
        <v/>
      </c>
      <c r="AL57" s="3" t="str">
        <f t="shared" si="31"/>
        <v/>
      </c>
      <c r="AM57" s="3" t="str">
        <f t="shared" si="32"/>
        <v/>
      </c>
    </row>
    <row r="58" spans="1:39" x14ac:dyDescent="0.25">
      <c r="A58" s="3">
        <v>55</v>
      </c>
      <c r="B58" s="9">
        <v>41293</v>
      </c>
      <c r="C58" s="8">
        <v>0.65625</v>
      </c>
      <c r="D58" s="11" t="s">
        <v>46</v>
      </c>
      <c r="E58" s="7" t="s">
        <v>47</v>
      </c>
      <c r="F58" s="4" t="s">
        <v>29</v>
      </c>
      <c r="G58" s="7" t="str">
        <f>IF('Светско Ракомет 2013'!G59="","",'Светско Ракомет 2013'!G59)</f>
        <v/>
      </c>
      <c r="H58" s="7" t="str">
        <f>IF('Светско Ракомет 2013'!H59="","",'Светско Ракомет 2013'!H59)</f>
        <v/>
      </c>
      <c r="I58" s="4" t="s">
        <v>28</v>
      </c>
      <c r="AG58" s="3" t="str">
        <f t="shared" si="27"/>
        <v/>
      </c>
      <c r="AH58" s="3" t="str">
        <f t="shared" si="28"/>
        <v/>
      </c>
      <c r="AI58" s="3" t="str">
        <f t="shared" si="29"/>
        <v/>
      </c>
      <c r="AJ58" s="3" t="str">
        <f t="shared" si="30"/>
        <v/>
      </c>
      <c r="AL58" s="3" t="str">
        <f t="shared" si="31"/>
        <v/>
      </c>
      <c r="AM58" s="3" t="str">
        <f t="shared" si="32"/>
        <v/>
      </c>
    </row>
    <row r="59" spans="1:39" x14ac:dyDescent="0.25">
      <c r="A59" s="3">
        <v>56</v>
      </c>
      <c r="B59" s="9">
        <v>41293</v>
      </c>
      <c r="C59" s="8">
        <v>0.75</v>
      </c>
      <c r="D59" s="11" t="s">
        <v>46</v>
      </c>
      <c r="E59" s="7" t="s">
        <v>47</v>
      </c>
      <c r="F59" s="4" t="s">
        <v>4</v>
      </c>
      <c r="G59" s="7" t="str">
        <f>IF('Светско Ракомет 2013'!G60="","",'Светско Ракомет 2013'!G60)</f>
        <v/>
      </c>
      <c r="H59" s="7" t="str">
        <f>IF('Светско Ракомет 2013'!H60="","",'Светско Ракомет 2013'!H60)</f>
        <v/>
      </c>
      <c r="I59" s="4" t="s">
        <v>30</v>
      </c>
      <c r="AG59" s="3" t="str">
        <f t="shared" si="27"/>
        <v/>
      </c>
      <c r="AH59" s="3" t="str">
        <f t="shared" si="28"/>
        <v/>
      </c>
      <c r="AI59" s="3" t="str">
        <f t="shared" si="29"/>
        <v/>
      </c>
      <c r="AJ59" s="3" t="str">
        <f t="shared" si="30"/>
        <v/>
      </c>
      <c r="AL59" s="3" t="str">
        <f t="shared" si="31"/>
        <v/>
      </c>
      <c r="AM59" s="3" t="str">
        <f t="shared" si="32"/>
        <v/>
      </c>
    </row>
    <row r="60" spans="1:39" x14ac:dyDescent="0.25">
      <c r="A60" s="3">
        <v>57</v>
      </c>
      <c r="B60" s="9">
        <v>41293</v>
      </c>
      <c r="C60" s="8">
        <v>0.84375</v>
      </c>
      <c r="D60" s="11" t="s">
        <v>46</v>
      </c>
      <c r="E60" s="7" t="s">
        <v>47</v>
      </c>
      <c r="F60" s="4" t="s">
        <v>32</v>
      </c>
      <c r="G60" s="7" t="str">
        <f>IF('Светско Ракомет 2013'!G61="","",'Светско Ракомет 2013'!G61)</f>
        <v/>
      </c>
      <c r="H60" s="7" t="str">
        <f>IF('Светско Ракомет 2013'!H61="","",'Светско Ракомет 2013'!H61)</f>
        <v/>
      </c>
      <c r="I60" s="4" t="s">
        <v>31</v>
      </c>
      <c r="AG60" s="3" t="str">
        <f t="shared" si="27"/>
        <v/>
      </c>
      <c r="AH60" s="3" t="str">
        <f t="shared" si="28"/>
        <v/>
      </c>
      <c r="AI60" s="3" t="str">
        <f t="shared" si="29"/>
        <v/>
      </c>
      <c r="AJ60" s="3" t="str">
        <f t="shared" si="30"/>
        <v/>
      </c>
      <c r="AL60" s="3" t="str">
        <f t="shared" si="31"/>
        <v/>
      </c>
      <c r="AM60" s="3" t="str">
        <f t="shared" si="32"/>
        <v/>
      </c>
    </row>
    <row r="61" spans="1:39" x14ac:dyDescent="0.25">
      <c r="A61" s="3">
        <v>58</v>
      </c>
      <c r="B61" s="9">
        <v>41293</v>
      </c>
      <c r="C61" s="8">
        <v>0.69791666666666663</v>
      </c>
      <c r="D61" s="11" t="s">
        <v>48</v>
      </c>
      <c r="E61" s="7" t="s">
        <v>7</v>
      </c>
      <c r="F61" s="4" t="s">
        <v>35</v>
      </c>
      <c r="G61" s="7" t="str">
        <f>IF('Светско Ракомет 2013'!G62="","",'Светско Ракомет 2013'!G62)</f>
        <v/>
      </c>
      <c r="H61" s="7" t="str">
        <f>IF('Светско Ракомет 2013'!H62="","",'Светско Ракомет 2013'!H62)</f>
        <v/>
      </c>
      <c r="I61" s="4" t="s">
        <v>34</v>
      </c>
      <c r="AG61" s="3" t="str">
        <f t="shared" si="27"/>
        <v/>
      </c>
      <c r="AH61" s="3" t="str">
        <f t="shared" si="28"/>
        <v/>
      </c>
      <c r="AI61" s="3" t="str">
        <f t="shared" si="29"/>
        <v/>
      </c>
      <c r="AJ61" s="3" t="str">
        <f t="shared" si="30"/>
        <v/>
      </c>
      <c r="AL61" s="3" t="str">
        <f t="shared" si="31"/>
        <v/>
      </c>
      <c r="AM61" s="3" t="str">
        <f t="shared" si="32"/>
        <v/>
      </c>
    </row>
    <row r="62" spans="1:39" x14ac:dyDescent="0.25">
      <c r="A62" s="3">
        <v>59</v>
      </c>
      <c r="B62" s="9">
        <v>41293</v>
      </c>
      <c r="C62" s="8">
        <v>0.79166666666666663</v>
      </c>
      <c r="D62" s="11" t="s">
        <v>48</v>
      </c>
      <c r="E62" s="7" t="s">
        <v>7</v>
      </c>
      <c r="F62" s="4" t="s">
        <v>6</v>
      </c>
      <c r="G62" s="7" t="str">
        <f>IF('Светско Ракомет 2013'!G63="","",'Светско Ракомет 2013'!G63)</f>
        <v/>
      </c>
      <c r="H62" s="7" t="str">
        <f>IF('Светско Ракомет 2013'!H63="","",'Светско Ракомет 2013'!H63)</f>
        <v/>
      </c>
      <c r="I62" s="4" t="s">
        <v>0</v>
      </c>
      <c r="AG62" s="3" t="str">
        <f t="shared" si="27"/>
        <v/>
      </c>
      <c r="AH62" s="3" t="str">
        <f t="shared" si="28"/>
        <v/>
      </c>
      <c r="AI62" s="3" t="str">
        <f t="shared" si="29"/>
        <v/>
      </c>
      <c r="AJ62" s="3" t="str">
        <f t="shared" si="30"/>
        <v/>
      </c>
      <c r="AL62" s="3" t="str">
        <f t="shared" si="31"/>
        <v/>
      </c>
      <c r="AM62" s="3" t="str">
        <f t="shared" si="32"/>
        <v/>
      </c>
    </row>
    <row r="63" spans="1:39" x14ac:dyDescent="0.25">
      <c r="A63" s="3">
        <v>60</v>
      </c>
      <c r="B63" s="9">
        <v>41293</v>
      </c>
      <c r="C63" s="8">
        <v>0.88541666666666663</v>
      </c>
      <c r="D63" s="11" t="s">
        <v>48</v>
      </c>
      <c r="E63" s="7" t="s">
        <v>7</v>
      </c>
      <c r="F63" s="4" t="s">
        <v>36</v>
      </c>
      <c r="G63" s="7" t="str">
        <f>IF('Светско Ракомет 2013'!G64="","",'Светско Ракомет 2013'!G64)</f>
        <v/>
      </c>
      <c r="H63" s="7" t="str">
        <f>IF('Светско Ракомет 2013'!H64="","",'Светско Ракомет 2013'!H64)</f>
        <v/>
      </c>
      <c r="I63" s="4" t="s">
        <v>33</v>
      </c>
      <c r="AG63" s="3" t="str">
        <f t="shared" si="27"/>
        <v/>
      </c>
      <c r="AH63" s="3" t="str">
        <f t="shared" si="28"/>
        <v/>
      </c>
      <c r="AI63" s="3" t="str">
        <f t="shared" si="29"/>
        <v/>
      </c>
      <c r="AJ63" s="3" t="str">
        <f t="shared" si="30"/>
        <v/>
      </c>
      <c r="AL63" s="3" t="str">
        <f t="shared" si="31"/>
        <v/>
      </c>
      <c r="AM63" s="3" t="str">
        <f t="shared" si="32"/>
        <v/>
      </c>
    </row>
    <row r="65" spans="1:9" ht="23.25" customHeight="1" x14ac:dyDescent="0.25">
      <c r="A65" s="40" t="s">
        <v>60</v>
      </c>
      <c r="B65" s="41"/>
      <c r="C65" s="41"/>
      <c r="D65" s="41"/>
      <c r="E65" s="41"/>
      <c r="F65" s="41"/>
      <c r="G65" s="41"/>
      <c r="H65" s="41"/>
      <c r="I65" s="42"/>
    </row>
    <row r="66" spans="1:9" x14ac:dyDescent="0.25">
      <c r="A66" s="18" t="s">
        <v>23</v>
      </c>
      <c r="B66" s="18" t="s">
        <v>37</v>
      </c>
      <c r="C66" s="18" t="s">
        <v>38</v>
      </c>
      <c r="D66" s="43" t="s">
        <v>39</v>
      </c>
      <c r="E66" s="44"/>
      <c r="F66" s="18" t="s">
        <v>40</v>
      </c>
      <c r="G66" s="45" t="s">
        <v>41</v>
      </c>
      <c r="H66" s="45"/>
      <c r="I66" s="18" t="s">
        <v>42</v>
      </c>
    </row>
    <row r="67" spans="1:9" x14ac:dyDescent="0.25">
      <c r="A67" s="3">
        <v>1</v>
      </c>
      <c r="B67" s="16">
        <v>41294</v>
      </c>
      <c r="C67" s="7" t="s">
        <v>61</v>
      </c>
      <c r="D67" s="34" t="s">
        <v>62</v>
      </c>
      <c r="E67" s="51"/>
      <c r="F67" s="3" t="str">
        <f>IF(W20=30,L14,"")</f>
        <v/>
      </c>
      <c r="G67" s="7" t="str">
        <f>IF('Светско Ракомет 2013'!G68="","",'Светско Ракомет 2013'!G68)</f>
        <v/>
      </c>
      <c r="H67" s="7" t="str">
        <f>IF('Светско Ракомет 2013'!H68="","",'Светско Ракомет 2013'!H68)</f>
        <v/>
      </c>
      <c r="I67" s="3" t="str">
        <f>IF(W30=30,L27,"")</f>
        <v/>
      </c>
    </row>
    <row r="68" spans="1:9" x14ac:dyDescent="0.25">
      <c r="A68" s="3">
        <v>2</v>
      </c>
      <c r="B68" s="16">
        <v>41294</v>
      </c>
      <c r="C68" s="7" t="s">
        <v>61</v>
      </c>
      <c r="D68" s="34" t="s">
        <v>63</v>
      </c>
      <c r="E68" s="51"/>
      <c r="F68" s="3" t="str">
        <f>IF(W20=30,L16,"")</f>
        <v/>
      </c>
      <c r="G68" s="7" t="str">
        <f>IF('Светско Ракомет 2013'!G69="","",'Светско Ракомет 2013'!G69)</f>
        <v/>
      </c>
      <c r="H68" s="7" t="str">
        <f>IF('Светско Ракомет 2013'!H69="","",'Светско Ракомет 2013'!H69)</f>
        <v/>
      </c>
      <c r="I68" s="3" t="str">
        <f>IF(W30=30,L25,"")</f>
        <v/>
      </c>
    </row>
    <row r="69" spans="1:9" x14ac:dyDescent="0.25">
      <c r="A69" s="3">
        <v>3</v>
      </c>
      <c r="B69" s="16">
        <v>41294</v>
      </c>
      <c r="C69" s="8">
        <v>0.84375</v>
      </c>
      <c r="D69" s="34" t="s">
        <v>63</v>
      </c>
      <c r="E69" s="51"/>
      <c r="F69" s="3" t="str">
        <f>IF(W30=30,L24,"")</f>
        <v/>
      </c>
      <c r="G69" s="7" t="str">
        <f>IF('Светско Ракомет 2013'!G70="","",'Светско Ракомет 2013'!G70)</f>
        <v/>
      </c>
      <c r="H69" s="7" t="str">
        <f>IF('Светско Ракомет 2013'!H70="","",'Светско Ракомет 2013'!H70)</f>
        <v/>
      </c>
      <c r="I69" s="3" t="str">
        <f>IF(W20=30,L17,"")</f>
        <v/>
      </c>
    </row>
    <row r="70" spans="1:9" x14ac:dyDescent="0.25">
      <c r="A70" s="3">
        <v>4</v>
      </c>
      <c r="B70" s="16">
        <v>41294</v>
      </c>
      <c r="C70" s="8">
        <v>0.84375</v>
      </c>
      <c r="D70" s="34" t="s">
        <v>64</v>
      </c>
      <c r="E70" s="51"/>
      <c r="F70" s="3" t="str">
        <f>IF(W30=30,L26,"")</f>
        <v/>
      </c>
      <c r="G70" s="7" t="str">
        <f>IF('Светско Ракомет 2013'!G71="","",'Светско Ракомет 2013'!G71)</f>
        <v/>
      </c>
      <c r="H70" s="7" t="str">
        <f>IF('Светско Ракомет 2013'!H71="","",'Светско Ракомет 2013'!H71)</f>
        <v/>
      </c>
      <c r="I70" s="3" t="str">
        <f>IF(W20=30,L15,"")</f>
        <v/>
      </c>
    </row>
    <row r="71" spans="1:9" x14ac:dyDescent="0.25">
      <c r="A71" s="3">
        <v>5</v>
      </c>
      <c r="B71" s="16">
        <v>41295</v>
      </c>
      <c r="C71" s="8">
        <v>0.72916666666666663</v>
      </c>
      <c r="D71" s="34" t="s">
        <v>64</v>
      </c>
      <c r="E71" s="51"/>
      <c r="F71" s="3" t="str">
        <f>IF(W50=30,L46,"")</f>
        <v/>
      </c>
      <c r="G71" s="7" t="str">
        <f>IF('Светско Ракомет 2013'!G72="","",'Светско Ракомет 2013'!G72)</f>
        <v/>
      </c>
      <c r="H71" s="7" t="str">
        <f>IF('Светско Ракомет 2013'!H72="","",'Светско Ракомет 2013'!H72)</f>
        <v/>
      </c>
      <c r="I71" s="3" t="str">
        <f>IF(W40=30,L35,"")</f>
        <v/>
      </c>
    </row>
    <row r="72" spans="1:9" x14ac:dyDescent="0.25">
      <c r="A72" s="3">
        <v>6</v>
      </c>
      <c r="B72" s="16">
        <v>41295</v>
      </c>
      <c r="C72" s="8">
        <v>0.72916666666666663</v>
      </c>
      <c r="D72" s="34" t="s">
        <v>63</v>
      </c>
      <c r="E72" s="51"/>
      <c r="F72" s="3" t="str">
        <f>IF(W40=30,L36,"")</f>
        <v/>
      </c>
      <c r="G72" s="7" t="str">
        <f>IF('Светско Ракомет 2013'!G73="","",'Светско Ракомет 2013'!G73)</f>
        <v/>
      </c>
      <c r="H72" s="7" t="str">
        <f>IF('Светско Ракомет 2013'!H73="","",'Светско Ракомет 2013'!H73)</f>
        <v/>
      </c>
      <c r="I72" s="3" t="str">
        <f>IF(W50=30,L45,"")</f>
        <v/>
      </c>
    </row>
    <row r="73" spans="1:9" x14ac:dyDescent="0.25">
      <c r="A73" s="3">
        <v>7</v>
      </c>
      <c r="B73" s="16">
        <v>41295</v>
      </c>
      <c r="C73" s="8">
        <v>0.84375</v>
      </c>
      <c r="D73" s="34" t="s">
        <v>63</v>
      </c>
      <c r="E73" s="51"/>
      <c r="F73" s="3" t="str">
        <f>IF(W50=30,L44,"")</f>
        <v/>
      </c>
      <c r="G73" s="7" t="str">
        <f>IF('Светско Ракомет 2013'!G74="","",'Светско Ракомет 2013'!G74)</f>
        <v/>
      </c>
      <c r="H73" s="7" t="str">
        <f>IF('Светско Ракомет 2013'!H74="","",'Светско Ракомет 2013'!H74)</f>
        <v/>
      </c>
      <c r="I73" s="3" t="str">
        <f>IF(W40=30,L37,"")</f>
        <v/>
      </c>
    </row>
    <row r="74" spans="1:9" x14ac:dyDescent="0.25">
      <c r="A74" s="3">
        <v>8</v>
      </c>
      <c r="B74" s="16">
        <v>41295</v>
      </c>
      <c r="C74" s="8">
        <v>0.84375</v>
      </c>
      <c r="D74" s="34" t="s">
        <v>64</v>
      </c>
      <c r="E74" s="51"/>
      <c r="F74" s="3" t="str">
        <f>IF(W40=30,L34,"")</f>
        <v/>
      </c>
      <c r="G74" s="7" t="str">
        <f>IF('Светско Ракомет 2013'!G75="","",'Светско Ракомет 2013'!G75)</f>
        <v/>
      </c>
      <c r="H74" s="7" t="str">
        <f>IF('Светско Ракомет 2013'!H75="","",'Светско Ракомет 2013'!H75)</f>
        <v/>
      </c>
      <c r="I74" s="3" t="str">
        <f>IF(W50=30,L47,"")</f>
        <v/>
      </c>
    </row>
    <row r="76" spans="1:9" ht="21.75" customHeight="1" x14ac:dyDescent="0.25">
      <c r="A76" s="40" t="s">
        <v>65</v>
      </c>
      <c r="B76" s="41"/>
      <c r="C76" s="41"/>
      <c r="D76" s="41"/>
      <c r="E76" s="41"/>
      <c r="F76" s="41"/>
      <c r="G76" s="41"/>
      <c r="H76" s="41"/>
      <c r="I76" s="42"/>
    </row>
    <row r="77" spans="1:9" x14ac:dyDescent="0.25">
      <c r="A77" s="18" t="s">
        <v>23</v>
      </c>
      <c r="B77" s="18" t="s">
        <v>37</v>
      </c>
      <c r="C77" s="18" t="s">
        <v>38</v>
      </c>
      <c r="D77" s="43" t="s">
        <v>39</v>
      </c>
      <c r="E77" s="44"/>
      <c r="F77" s="18" t="s">
        <v>40</v>
      </c>
      <c r="G77" s="45" t="s">
        <v>41</v>
      </c>
      <c r="H77" s="45"/>
      <c r="I77" s="18" t="s">
        <v>42</v>
      </c>
    </row>
    <row r="78" spans="1:9" x14ac:dyDescent="0.25">
      <c r="A78" s="3">
        <v>1</v>
      </c>
      <c r="B78" s="16">
        <v>41297</v>
      </c>
      <c r="C78" s="7"/>
      <c r="D78" s="34" t="s">
        <v>62</v>
      </c>
      <c r="E78" s="51"/>
      <c r="F78" s="3" t="str">
        <f>IF(H67="","",IF(G67="","",IF(G67&gt;H67,F67,IF(G67&lt;H67,I67))))</f>
        <v/>
      </c>
      <c r="G78" s="7" t="str">
        <f>IF('Светско Ракомет 2013'!G79="","",'Светско Ракомет 2013'!G79)</f>
        <v/>
      </c>
      <c r="H78" s="7" t="str">
        <f>IF('Светско Ракомет 2013'!H79="","",'Светско Ракомет 2013'!H79)</f>
        <v/>
      </c>
      <c r="I78" s="3" t="str">
        <f>IF(H68="","",IF(G68="","",IF(G68&gt;H68,F68,IF(G68&lt;H68,I68))))</f>
        <v/>
      </c>
    </row>
    <row r="79" spans="1:9" x14ac:dyDescent="0.25">
      <c r="A79" s="3">
        <v>2</v>
      </c>
      <c r="B79" s="16">
        <v>41297</v>
      </c>
      <c r="C79" s="7"/>
      <c r="D79" s="34" t="s">
        <v>63</v>
      </c>
      <c r="E79" s="51"/>
      <c r="F79" s="3" t="str">
        <f>IF(H69="","",IF(G69="","",IF(G69&gt;H69,F69,IF(G69&lt;H69,I69))))</f>
        <v/>
      </c>
      <c r="G79" s="7" t="str">
        <f>IF('Светско Ракомет 2013'!G80="","",'Светско Ракомет 2013'!G80)</f>
        <v/>
      </c>
      <c r="H79" s="7" t="str">
        <f>IF('Светско Ракомет 2013'!H80="","",'Светско Ракомет 2013'!H80)</f>
        <v/>
      </c>
      <c r="I79" s="3" t="str">
        <f>IF(H70="","",IF(G70="","",IF(G70&gt;H70,F70,IF(G70&lt;H70,I70))))</f>
        <v/>
      </c>
    </row>
    <row r="80" spans="1:9" x14ac:dyDescent="0.25">
      <c r="A80" s="3">
        <v>3</v>
      </c>
      <c r="B80" s="16">
        <v>41297</v>
      </c>
      <c r="C80" s="8"/>
      <c r="D80" s="34" t="s">
        <v>63</v>
      </c>
      <c r="E80" s="51"/>
      <c r="F80" s="3" t="str">
        <f>IF(H71="","",IF(G71="","",IF(G71&gt;H71,F71,IF(G71&lt;H71,I71))))</f>
        <v/>
      </c>
      <c r="G80" s="7" t="str">
        <f>IF('Светско Ракомет 2013'!G81="","",'Светско Ракомет 2013'!G81)</f>
        <v/>
      </c>
      <c r="H80" s="7" t="str">
        <f>IF('Светско Ракомет 2013'!H81="","",'Светско Ракомет 2013'!H81)</f>
        <v/>
      </c>
      <c r="I80" s="3" t="str">
        <f>IF(H72="","",IF(G72="","",IF(G72&gt;H72,F72,IF(G72&lt;H72,I72))))</f>
        <v/>
      </c>
    </row>
    <row r="81" spans="1:9" x14ac:dyDescent="0.25">
      <c r="A81" s="3">
        <v>4</v>
      </c>
      <c r="B81" s="16">
        <v>41297</v>
      </c>
      <c r="C81" s="8"/>
      <c r="D81" s="34" t="s">
        <v>64</v>
      </c>
      <c r="E81" s="51"/>
      <c r="F81" s="3" t="str">
        <f>IF(H73="","",IF(G73="","",IF(G73&gt;H73,F73,IF(G73&lt;H73,I73))))</f>
        <v/>
      </c>
      <c r="G81" s="7" t="str">
        <f>IF('Светско Ракомет 2013'!G82="","",'Светско Ракомет 2013'!G82)</f>
        <v/>
      </c>
      <c r="H81" s="7" t="str">
        <f>IF('Светско Ракомет 2013'!H82="","",'Светско Ракомет 2013'!H82)</f>
        <v/>
      </c>
      <c r="I81" s="3" t="str">
        <f>IF(H74="","",IF(G74="","",IF(G74&gt;H74,F74,IF(G74&lt;H74,I74))))</f>
        <v/>
      </c>
    </row>
    <row r="83" spans="1:9" ht="21.75" customHeight="1" x14ac:dyDescent="0.25">
      <c r="A83" s="40" t="s">
        <v>66</v>
      </c>
      <c r="B83" s="41"/>
      <c r="C83" s="41"/>
      <c r="D83" s="41"/>
      <c r="E83" s="41"/>
      <c r="F83" s="41"/>
      <c r="G83" s="41"/>
      <c r="H83" s="41"/>
      <c r="I83" s="42"/>
    </row>
    <row r="84" spans="1:9" x14ac:dyDescent="0.25">
      <c r="A84" s="18" t="s">
        <v>23</v>
      </c>
      <c r="B84" s="18" t="s">
        <v>37</v>
      </c>
      <c r="C84" s="18" t="s">
        <v>38</v>
      </c>
      <c r="D84" s="43" t="s">
        <v>39</v>
      </c>
      <c r="E84" s="44"/>
      <c r="F84" s="18" t="s">
        <v>40</v>
      </c>
      <c r="G84" s="45" t="s">
        <v>41</v>
      </c>
      <c r="H84" s="45"/>
      <c r="I84" s="18" t="s">
        <v>42</v>
      </c>
    </row>
    <row r="85" spans="1:9" x14ac:dyDescent="0.25">
      <c r="A85" s="3">
        <v>1</v>
      </c>
      <c r="B85" s="16">
        <v>41299</v>
      </c>
      <c r="C85" s="7"/>
      <c r="D85" s="34" t="s">
        <v>62</v>
      </c>
      <c r="E85" s="51"/>
      <c r="F85" s="3" t="str">
        <f>IF(H78="","",IF(G78="","",IF(G78&gt;H78,F78,IF(G78&lt;H78,I78))))</f>
        <v/>
      </c>
      <c r="G85" s="7" t="str">
        <f>IF('Светско Ракомет 2013'!G86="","",'Светско Ракомет 2013'!G86)</f>
        <v/>
      </c>
      <c r="H85" s="7" t="str">
        <f>IF('Светско Ракомет 2013'!H86="","",'Светско Ракомет 2013'!H86)</f>
        <v/>
      </c>
      <c r="I85" s="3" t="str">
        <f>IF(H79="","",IF(G79="","",IF(G79&gt;H79,F79,IF(G79&lt;H79,I79))))</f>
        <v/>
      </c>
    </row>
    <row r="86" spans="1:9" x14ac:dyDescent="0.25">
      <c r="A86" s="3">
        <v>2</v>
      </c>
      <c r="B86" s="16">
        <v>41299</v>
      </c>
      <c r="C86" s="7"/>
      <c r="D86" s="34" t="s">
        <v>63</v>
      </c>
      <c r="E86" s="51"/>
      <c r="F86" s="3" t="str">
        <f>IF(H80="","",IF(G80="","",IF(G80&gt;H80,F80,IF(G80&lt;H80,I80))))</f>
        <v/>
      </c>
      <c r="G86" s="7" t="str">
        <f>IF('Светско Ракомет 2013'!G87="","",'Светско Ракомет 2013'!G87)</f>
        <v/>
      </c>
      <c r="H86" s="7" t="str">
        <f>IF('Светско Ракомет 2013'!H87="","",'Светско Ракомет 2013'!H87)</f>
        <v/>
      </c>
      <c r="I86" s="3" t="str">
        <f>IF(H81="","",IF(G81="","",IF(G81&gt;H81,F81,IF(G81&lt;H81,I82))))</f>
        <v/>
      </c>
    </row>
    <row r="88" spans="1:9" ht="23.25" customHeight="1" x14ac:dyDescent="0.25">
      <c r="A88" s="40" t="s">
        <v>67</v>
      </c>
      <c r="B88" s="41"/>
      <c r="C88" s="41"/>
      <c r="D88" s="41"/>
      <c r="E88" s="41"/>
      <c r="F88" s="41"/>
      <c r="G88" s="41"/>
      <c r="H88" s="41"/>
      <c r="I88" s="42"/>
    </row>
    <row r="89" spans="1:9" x14ac:dyDescent="0.25">
      <c r="A89" s="18" t="s">
        <v>23</v>
      </c>
      <c r="B89" s="18" t="s">
        <v>37</v>
      </c>
      <c r="C89" s="18" t="s">
        <v>38</v>
      </c>
      <c r="D89" s="43" t="s">
        <v>39</v>
      </c>
      <c r="E89" s="44"/>
      <c r="F89" s="18" t="s">
        <v>40</v>
      </c>
      <c r="G89" s="45" t="s">
        <v>41</v>
      </c>
      <c r="H89" s="45"/>
      <c r="I89" s="18" t="s">
        <v>42</v>
      </c>
    </row>
    <row r="90" spans="1:9" x14ac:dyDescent="0.25">
      <c r="A90" s="3">
        <v>1</v>
      </c>
      <c r="B90" s="16">
        <v>41301</v>
      </c>
      <c r="C90" s="8">
        <v>0.71875</v>
      </c>
      <c r="D90" s="34" t="s">
        <v>62</v>
      </c>
      <c r="E90" s="51"/>
      <c r="F90" s="3" t="str">
        <f>IF(H85="","",IF(G85="","",IF(G85&gt;H85,F85,IF(G85&lt;H85,I85))))</f>
        <v/>
      </c>
      <c r="G90" s="7" t="str">
        <f>IF('Светско Ракомет 2013'!G91="","",'Светско Ракомет 2013'!G91)</f>
        <v/>
      </c>
      <c r="H90" s="7" t="str">
        <f>IF('Светско Ракомет 2013'!H91="","",'Светско Ракомет 2013'!H91)</f>
        <v/>
      </c>
      <c r="I90" s="3" t="str">
        <f>IF(H86="","",IF(G86="","",IF(G86&gt;H86,F86,IF(G86&lt;H86,I86))))</f>
        <v/>
      </c>
    </row>
    <row r="91" spans="1:9" ht="30.75" customHeight="1" x14ac:dyDescent="0.45">
      <c r="A91" s="36" t="s">
        <v>68</v>
      </c>
      <c r="B91" s="37"/>
      <c r="C91" s="37"/>
      <c r="D91" s="37"/>
      <c r="E91" s="37"/>
      <c r="F91" s="47"/>
      <c r="G91" s="48" t="str">
        <f>IF(H90="","",IF(G90="","",IF(G90&gt;H90,F90,IF(G90&lt;H90,I90))))</f>
        <v/>
      </c>
      <c r="H91" s="49"/>
      <c r="I91" s="50"/>
    </row>
  </sheetData>
  <mergeCells count="39">
    <mergeCell ref="D66:E66"/>
    <mergeCell ref="G66:H66"/>
    <mergeCell ref="K42:R42"/>
    <mergeCell ref="T42:AA42"/>
    <mergeCell ref="A65:I65"/>
    <mergeCell ref="A2:I2"/>
    <mergeCell ref="G3:H3"/>
    <mergeCell ref="K12:R12"/>
    <mergeCell ref="K32:R32"/>
    <mergeCell ref="T32:AA32"/>
    <mergeCell ref="T12:AA12"/>
    <mergeCell ref="K22:R22"/>
    <mergeCell ref="T22:AA22"/>
    <mergeCell ref="D78:E78"/>
    <mergeCell ref="D67:E67"/>
    <mergeCell ref="D68:E68"/>
    <mergeCell ref="D69:E69"/>
    <mergeCell ref="D70:E70"/>
    <mergeCell ref="D71:E71"/>
    <mergeCell ref="D72:E72"/>
    <mergeCell ref="D73:E73"/>
    <mergeCell ref="D74:E74"/>
    <mergeCell ref="A76:I76"/>
    <mergeCell ref="D77:E77"/>
    <mergeCell ref="G77:H77"/>
    <mergeCell ref="D79:E79"/>
    <mergeCell ref="D80:E80"/>
    <mergeCell ref="D81:E81"/>
    <mergeCell ref="A83:I83"/>
    <mergeCell ref="D84:E84"/>
    <mergeCell ref="G84:H84"/>
    <mergeCell ref="A91:F91"/>
    <mergeCell ref="G91:I91"/>
    <mergeCell ref="D85:E85"/>
    <mergeCell ref="D86:E86"/>
    <mergeCell ref="A88:I88"/>
    <mergeCell ref="D89:E89"/>
    <mergeCell ref="G89:H89"/>
    <mergeCell ref="D90:E90"/>
  </mergeCells>
  <conditionalFormatting sqref="F4">
    <cfRule type="expression" dxfId="6" priority="221">
      <formula>"IF(G4&gt;H4,1,0)"</formula>
    </cfRule>
  </conditionalFormatting>
  <conditionalFormatting sqref="G4:H63">
    <cfRule type="expression" dxfId="5" priority="220">
      <formula>ISBLANK(G4)</formula>
    </cfRule>
  </conditionalFormatting>
  <conditionalFormatting sqref="G67:H74">
    <cfRule type="expression" dxfId="4" priority="40">
      <formula>ISBLANK(G67)</formula>
    </cfRule>
  </conditionalFormatting>
  <conditionalFormatting sqref="G85:H86">
    <cfRule type="expression" dxfId="3" priority="8">
      <formula>ISBLANK(G85)</formula>
    </cfRule>
  </conditionalFormatting>
  <conditionalFormatting sqref="G90:H90">
    <cfRule type="expression" dxfId="2" priority="4">
      <formula>ISBLANK(G90)</formula>
    </cfRule>
  </conditionalFormatting>
  <conditionalFormatting sqref="G78:H81">
    <cfRule type="expression" dxfId="1" priority="2">
      <formula>ISBLANK(G78)</formula>
    </cfRule>
  </conditionalFormatting>
  <conditionalFormatting sqref="G78:H81">
    <cfRule type="expression" dxfId="0" priority="1">
      <formula>ISBLANK(G78)</formula>
    </cfRule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Светско Ракомет 2013</vt:lpstr>
      <vt:lpstr>'Светско Ракомет 2013 (2)'!Гол_разл._гос</vt:lpstr>
      <vt:lpstr>'Светско Ракомет 2013 (2)'!Гол_разл._дом.</vt:lpstr>
      <vt:lpstr>'Светско Ракомет 2013 (2)'!Гости</vt:lpstr>
      <vt:lpstr>Гости</vt:lpstr>
      <vt:lpstr>'Светско Ракомет 2013 (2)'!ГрупаА</vt:lpstr>
      <vt:lpstr>'Светско Ракомет 2013 (2)'!ГрупаБ</vt:lpstr>
      <vt:lpstr>'Светско Ракомет 2013 (2)'!ГрупаД</vt:lpstr>
      <vt:lpstr>'Светско Ракомет 2013 (2)'!ГрупаЦ</vt:lpstr>
      <vt:lpstr>'Светско Ракомет 2013 (2)'!Губитник</vt:lpstr>
      <vt:lpstr>'Светско Ракомет 2013 (2)'!Домакини</vt:lpstr>
      <vt:lpstr>Домакини</vt:lpstr>
      <vt:lpstr>'Светско Ракомет 2013 (2)'!Нерешени</vt:lpstr>
      <vt:lpstr>'Светско Ракомет 2013 (2)'!Победник</vt:lpstr>
      <vt:lpstr>'Светско Ракомет 2013 (2)'!Табела_играни_мечеви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 Mitrevski</dc:creator>
  <cp:lastModifiedBy>Dalibor Mitrovski</cp:lastModifiedBy>
  <dcterms:created xsi:type="dcterms:W3CDTF">2013-01-08T21:39:49Z</dcterms:created>
  <dcterms:modified xsi:type="dcterms:W3CDTF">2013-01-09T13:37:10Z</dcterms:modified>
</cp:coreProperties>
</file>